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A.Hassan4\Desktop\New GPE 2024-2026\Technical assessment in SS schools\Southwest\Bay region\"/>
    </mc:Choice>
  </mc:AlternateContent>
  <xr:revisionPtr revIDLastSave="0" documentId="13_ncr:1_{AEE76E01-ADDC-4479-B4D9-C2D5061122C9}" xr6:coauthVersionLast="36" xr6:coauthVersionMax="36" xr10:uidLastSave="{00000000-0000-0000-0000-000000000000}"/>
  <bookViews>
    <workbookView xWindow="0" yWindow="0" windowWidth="20490" windowHeight="7425" xr2:uid="{1BFCC980-918E-41F0-9B68-4CE261A36FE7}"/>
  </bookViews>
  <sheets>
    <sheet name="Main Summary" sheetId="4" r:id="rId1"/>
    <sheet name="Baidoa PS" sheetId="1" r:id="rId2"/>
    <sheet name="Arafat PS" sheetId="2" r:id="rId3"/>
    <sheet name="Mustaqbal PS" sheetId="3" r:id="rId4"/>
  </sheets>
  <definedNames>
    <definedName name="_xlnm.Print_Area" localSheetId="2">'Arafat PS'!$A$1:$F$77</definedName>
    <definedName name="_xlnm.Print_Area" localSheetId="1">'Baidoa PS'!$A$1:$F$46</definedName>
    <definedName name="_xlnm.Print_Area" localSheetId="3">'Mustaqbal PS'!$A$1:$F$52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42" i="3" l="1"/>
  <c r="B41" i="3"/>
  <c r="F37" i="3"/>
  <c r="F38" i="3" s="1"/>
  <c r="F42" i="3" s="1"/>
  <c r="F33" i="3"/>
  <c r="F32" i="3"/>
  <c r="D31" i="3"/>
  <c r="F31" i="3" s="1"/>
  <c r="F30" i="3"/>
  <c r="D29" i="3"/>
  <c r="F29" i="3" s="1"/>
  <c r="D27" i="3"/>
  <c r="F27" i="3" s="1"/>
  <c r="F26" i="3"/>
  <c r="D26" i="3"/>
  <c r="D28" i="3" s="1"/>
  <c r="F28" i="3" s="1"/>
  <c r="F25" i="3"/>
  <c r="F24" i="3"/>
  <c r="D24" i="3"/>
  <c r="D23" i="3"/>
  <c r="F23" i="3" s="1"/>
  <c r="D22" i="3"/>
  <c r="F22" i="3" s="1"/>
  <c r="D21" i="3"/>
  <c r="F21" i="3" s="1"/>
  <c r="F20" i="3"/>
  <c r="D20" i="3"/>
  <c r="D19" i="3"/>
  <c r="F19" i="3" s="1"/>
  <c r="D18" i="3"/>
  <c r="F18" i="3" s="1"/>
  <c r="D17" i="3"/>
  <c r="F17" i="3" s="1"/>
  <c r="D15" i="3"/>
  <c r="D16" i="3" s="1"/>
  <c r="F16" i="3" s="1"/>
  <c r="D14" i="3"/>
  <c r="F14" i="3" s="1"/>
  <c r="D13" i="3"/>
  <c r="F13" i="3" s="1"/>
  <c r="F12" i="3"/>
  <c r="D12" i="3"/>
  <c r="D11" i="3"/>
  <c r="F11" i="3" s="1"/>
  <c r="D10" i="3"/>
  <c r="F10" i="3" s="1"/>
  <c r="D9" i="3"/>
  <c r="F9" i="3" s="1"/>
  <c r="F8" i="3"/>
  <c r="D8" i="3"/>
  <c r="D7" i="3"/>
  <c r="F7" i="3" s="1"/>
  <c r="B69" i="2"/>
  <c r="B68" i="2"/>
  <c r="B67" i="2"/>
  <c r="B66" i="2"/>
  <c r="F62" i="2"/>
  <c r="F63" i="2" s="1"/>
  <c r="F69" i="2" s="1"/>
  <c r="D41" i="2"/>
  <c r="F41" i="2" s="1"/>
  <c r="D40" i="2"/>
  <c r="F40" i="2" s="1"/>
  <c r="D39" i="2"/>
  <c r="F39" i="2" s="1"/>
  <c r="D38" i="2"/>
  <c r="D37" i="2"/>
  <c r="F37" i="2" s="1"/>
  <c r="D59" i="2"/>
  <c r="F59" i="2" s="1"/>
  <c r="F58" i="2"/>
  <c r="F57" i="2"/>
  <c r="D57" i="2"/>
  <c r="F56" i="2"/>
  <c r="F55" i="2"/>
  <c r="F54" i="2"/>
  <c r="F53" i="2"/>
  <c r="F52" i="2"/>
  <c r="D52" i="2"/>
  <c r="F51" i="2"/>
  <c r="D51" i="2"/>
  <c r="D50" i="2"/>
  <c r="F50" i="2" s="1"/>
  <c r="D49" i="2"/>
  <c r="F49" i="2" s="1"/>
  <c r="F45" i="2"/>
  <c r="F44" i="2"/>
  <c r="F43" i="2"/>
  <c r="F42" i="2"/>
  <c r="F38" i="2"/>
  <c r="F60" i="2" l="1"/>
  <c r="F68" i="2" s="1"/>
  <c r="F15" i="3"/>
  <c r="F34" i="3" s="1"/>
  <c r="F41" i="3" s="1"/>
  <c r="F46" i="3" s="1"/>
  <c r="C9" i="4" s="1"/>
  <c r="F46" i="2"/>
  <c r="F67" i="2" s="1"/>
  <c r="F33" i="2" l="1"/>
  <c r="F32" i="2"/>
  <c r="D31" i="2"/>
  <c r="F31" i="2" s="1"/>
  <c r="F30" i="2"/>
  <c r="D27" i="2"/>
  <c r="D29" i="2" s="1"/>
  <c r="F29" i="2" s="1"/>
  <c r="D26" i="2"/>
  <c r="F26" i="2" s="1"/>
  <c r="F25" i="2"/>
  <c r="D24" i="2"/>
  <c r="F24" i="2" s="1"/>
  <c r="D23" i="2"/>
  <c r="F23" i="2" s="1"/>
  <c r="D22" i="2"/>
  <c r="F22" i="2" s="1"/>
  <c r="D21" i="2"/>
  <c r="F21" i="2" s="1"/>
  <c r="D20" i="2"/>
  <c r="F20" i="2" s="1"/>
  <c r="D19" i="2"/>
  <c r="F19" i="2" s="1"/>
  <c r="D18" i="2"/>
  <c r="F18" i="2" s="1"/>
  <c r="D17" i="2"/>
  <c r="F17" i="2" s="1"/>
  <c r="D15" i="2"/>
  <c r="D16" i="2" s="1"/>
  <c r="F16" i="2" s="1"/>
  <c r="D14" i="2"/>
  <c r="F14" i="2" s="1"/>
  <c r="D13" i="2"/>
  <c r="F13" i="2" s="1"/>
  <c r="D12" i="2"/>
  <c r="F12" i="2" s="1"/>
  <c r="D11" i="2"/>
  <c r="F11" i="2" s="1"/>
  <c r="D10" i="2"/>
  <c r="F10" i="2" s="1"/>
  <c r="D9" i="2"/>
  <c r="F9" i="2" s="1"/>
  <c r="D8" i="2"/>
  <c r="F8" i="2" s="1"/>
  <c r="D7" i="2"/>
  <c r="F7" i="2" s="1"/>
  <c r="D28" i="2" l="1"/>
  <c r="F28" i="2" s="1"/>
  <c r="F15" i="2"/>
  <c r="F27" i="2"/>
  <c r="F34" i="2" l="1"/>
  <c r="F66" i="2" s="1"/>
  <c r="F71" i="2" s="1"/>
  <c r="C8" i="4" s="1"/>
  <c r="B38" i="1"/>
  <c r="B37" i="1"/>
  <c r="B36" i="1"/>
  <c r="F33" i="1"/>
  <c r="F34" i="1" s="1"/>
  <c r="F38" i="1" s="1"/>
  <c r="D28" i="1" l="1"/>
  <c r="D23" i="1"/>
  <c r="F23" i="1" s="1"/>
  <c r="D22" i="1"/>
  <c r="D21" i="1"/>
  <c r="F21" i="1" s="1"/>
  <c r="D20" i="1"/>
  <c r="F20" i="1" s="1"/>
  <c r="D12" i="1"/>
  <c r="D11" i="1"/>
  <c r="D10" i="1"/>
  <c r="D9" i="1"/>
  <c r="F9" i="1" s="1"/>
  <c r="D8" i="1"/>
  <c r="F8" i="1" s="1"/>
  <c r="F30" i="1"/>
  <c r="F29" i="1"/>
  <c r="F28" i="1"/>
  <c r="F27" i="1"/>
  <c r="F26" i="1"/>
  <c r="F25" i="1"/>
  <c r="F24" i="1"/>
  <c r="F22" i="1"/>
  <c r="F16" i="1"/>
  <c r="F15" i="1"/>
  <c r="F14" i="1"/>
  <c r="F13" i="1"/>
  <c r="F12" i="1"/>
  <c r="F11" i="1"/>
  <c r="F10" i="1"/>
  <c r="F17" i="1" l="1"/>
  <c r="F36" i="1" s="1"/>
  <c r="F31" i="1"/>
  <c r="F37" i="1" s="1"/>
  <c r="F41" i="1" l="1"/>
  <c r="C7" i="4" s="1"/>
  <c r="C11" i="4" s="1"/>
</calcChain>
</file>

<file path=xl/sharedStrings.xml><?xml version="1.0" encoding="utf-8"?>
<sst xmlns="http://schemas.openxmlformats.org/spreadsheetml/2006/main" count="300" uniqueCount="111">
  <si>
    <t>Project:</t>
  </si>
  <si>
    <t>GPE/STG</t>
  </si>
  <si>
    <t>Work</t>
  </si>
  <si>
    <t>Location:</t>
  </si>
  <si>
    <t>Item</t>
  </si>
  <si>
    <t>Description</t>
  </si>
  <si>
    <t>Unit</t>
  </si>
  <si>
    <t>Quantity</t>
  </si>
  <si>
    <t xml:space="preserve">Rate USD </t>
  </si>
  <si>
    <t>Amount USD</t>
  </si>
  <si>
    <t>A</t>
  </si>
  <si>
    <t xml:space="preserve">Carefully remove existing roofing sheets and ceiling from class rooms. Repair any damage on timber structure by nailing and repairing. . Supply materials and install 26 gauge aluminium roofing sheets or equal and approved corrosion resistant roofing sheets strictly approved by SCI engineer with the provision of manufacturer data sheets. Cost shall include repair and replacement of any broken purlin, rafter or other part of the timber structure as directed by SCI engineer. </t>
  </si>
  <si>
    <t>m2</t>
  </si>
  <si>
    <t xml:space="preserve">Supply materials and install 5mm prepainted stripped ceiling boards nailed on 40x40mm timber brandering at 600mm spacing. </t>
  </si>
  <si>
    <t xml:space="preserve">Hack out damaged floor screed and disposed off. Strip, level and compact the ground to received RCC concrete. Pour and vibrate 80mm reinforced concrete slab including 8mm steel reinforcement of 20x20cm spacing. Concrete shall be finished smoothly with concrete helicopter to SCI engineer approval. </t>
  </si>
  <si>
    <t>m3</t>
  </si>
  <si>
    <t xml:space="preserve">Apply 2 coats of emulsion paint on internal and external walls. Colour to be as approved by SCI/MoECHE engineers. </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</si>
  <si>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1.2x1.2m all painted with anti-corrosion paint. </t>
  </si>
  <si>
    <t>no</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</si>
  <si>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1.2x2.1m.  </t>
  </si>
  <si>
    <t>No</t>
  </si>
  <si>
    <t>Electrical installation works in classrooms including wiring, ducting, lights, sockets and ceiling fans in classrooms</t>
  </si>
  <si>
    <t>lsm</t>
  </si>
  <si>
    <t xml:space="preserve">Allow for construction of access ramps of 1.2m wide with stainless steel guardrails and built as per the design documents to the required slope of not exceeding 1 in 15. </t>
  </si>
  <si>
    <t>Supply and installation of 1.2x2.4m blackboard to SCI engineers approval</t>
  </si>
  <si>
    <t>B</t>
  </si>
  <si>
    <t>WASH FACILITIES Rehabs - (6)</t>
  </si>
  <si>
    <t>Apply 2 coats of exterior paint on external walls of toilets</t>
  </si>
  <si>
    <t xml:space="preserve">Apply 2 coats of emulsion paint and 2 coats of glossy paint on internal walls.  </t>
  </si>
  <si>
    <t>Scrap existing floor, prepare surface and install 300x300x8cm non-slip ceramic tiles on toilet floors</t>
  </si>
  <si>
    <t xml:space="preserve">Supply and install 300x300x8cm ceramic wall tiles on cement backing up to 1.5m from floor level. </t>
  </si>
  <si>
    <t xml:space="preserve">Supply and install squating type WCs and improvement of soil water discharge pipes </t>
  </si>
  <si>
    <t xml:space="preserve">Allow for plubming and drainage pipes improvement including side water taps.   </t>
  </si>
  <si>
    <t>Supply and installation of 0.9x2.1m heavy duty steel doors of approved quality by SCI engineers</t>
  </si>
  <si>
    <t>Rehabilitation of handwashing area with repairs, tiling, water taps and drainage piping.</t>
  </si>
  <si>
    <t xml:space="preserve">Remove existing roof cover and supply and install 26 gauge aluminium roofing sheets. </t>
  </si>
  <si>
    <t xml:space="preserve">Supply piping materials and accessories and install water distribution pipes to toilets and handwashing areas of the school </t>
  </si>
  <si>
    <t>lms</t>
  </si>
  <si>
    <t>construction of 15cm thick of stone wall for four sides of pit latrine with dimension of 10m long and 5m deep.</t>
  </si>
  <si>
    <t>M3</t>
  </si>
  <si>
    <t>Subtotal for 6 Wash facilities rehab</t>
  </si>
  <si>
    <t>Raheabilitation classrooms in Baidoa primary school,</t>
  </si>
  <si>
    <t>Biadoa town, Bay region- Shoutwest state of somalia-Lot-6</t>
  </si>
  <si>
    <t xml:space="preserve">Classroom rehabilitations (9) </t>
  </si>
  <si>
    <t>Note: the quantities specified below represent the total requirement for all 9 classrooms</t>
  </si>
  <si>
    <t>WASH FACILITIES Rehabs - (15)</t>
  </si>
  <si>
    <t>Subtotal for 9 classrooms rehab</t>
  </si>
  <si>
    <t>septic tank remediation, including sludge, solid waste, and liquid
content extraction. This remediation will involve access cover removal and replacement, vacuum tanker
pumping, interior tank cleaning, and compliant waste disposal.</t>
  </si>
  <si>
    <t>D</t>
  </si>
  <si>
    <t>VISIBILITY</t>
  </si>
  <si>
    <t xml:space="preserve">Paint SCI, GPE and MOECHE logos on the newly constructed classrooms and other facilities.  Size should be (3m wide x3m long with details as to be provided by SCI communication department). </t>
  </si>
  <si>
    <t>NO</t>
  </si>
  <si>
    <t xml:space="preserve">Subtotal for visibility </t>
  </si>
  <si>
    <t xml:space="preserve">MAIN SUMMARY </t>
  </si>
  <si>
    <t>C</t>
  </si>
  <si>
    <t>GRAND TOTAL  FOR WORKS</t>
  </si>
  <si>
    <t xml:space="preserve">Company: </t>
  </si>
  <si>
    <t>Representative:</t>
  </si>
  <si>
    <t>Signature:</t>
  </si>
  <si>
    <t>Stamp:</t>
  </si>
  <si>
    <t>Subtotal for 15 Wash facilities rehab</t>
  </si>
  <si>
    <t>NEW CLASSROOMS (3)</t>
  </si>
  <si>
    <t>Note: the quantities specified below represent the total requirement for all 3 classrooms</t>
  </si>
  <si>
    <t>Top soil stripping and removal of any debris away from the site</t>
  </si>
  <si>
    <t xml:space="preserve">Excavation for linear foundation strip of 50cm wide and 60cm minimum depth. And including column footings of 80x80cm and 1.2m depth. </t>
  </si>
  <si>
    <t xml:space="preserve">5cm plain concrete blinding to the bottom of strip foundation and column footings </t>
  </si>
  <si>
    <t>Construction of 40cm bushstone foundation 50cm below ground level and 40cm above ground level</t>
  </si>
  <si>
    <t xml:space="preserve">Construction of 20x40cm RCC plinth beam with 4No Y14 main rebars and Y8 strips of 20cm spacing and including formwork and all necessary fixing procedures. Concrete mix proportion of 1:2:4, cement, sand and coarse aggregates. </t>
  </si>
  <si>
    <t>70x70x30cm RCC column footings with Y12 steel reinforcement of 15cm spacing including formwork and other associated works. Concrete mix proportion of 1:2:4, cement, sand and coarse aggregates.</t>
  </si>
  <si>
    <t>20x20cm RCC column starters with 4Y14 main rebars and Y8 links of 20cm spacing and including formwork and other associated works. Concrete mix proportion of 1:2:4, cement, sand and coarse aggregates.</t>
  </si>
  <si>
    <t xml:space="preserve">Foundation backfilling with hardcore in 20cm hand packed layers. </t>
  </si>
  <si>
    <t>5cm compacted murram blinding</t>
  </si>
  <si>
    <t xml:space="preserve">1000G DPM Polythene sheet laid over compacted murram surface to receive concrete. </t>
  </si>
  <si>
    <t xml:space="preserve">8cm reinforced concrete ground floor slab with 6mm mild steel rebars at 20cm centers and including formwork.  Concrete surface to be strictly finished with concrete helicopter to SCI engineers approval. No further finishing shall be done on top of the concrete. </t>
  </si>
  <si>
    <t xml:space="preserve">construction of 20cm concrete hollow blocks with 12G hoop iron at alternate joints. </t>
  </si>
  <si>
    <t>20x15cm RCC beam below windows with Y12 main rebars and R6 links of 20cm spacing and including formwork and other associated works. Concrete mix proportion of 1:2:4, cement, sand and coarse aggregates.</t>
  </si>
  <si>
    <t>20x20cm RCC lintel beam with Y12 main rebars and R6 links of 20cm spacing and including formwork and other associated works. Concrete mix proportion of 1:2:4, cement, sand and coarse aggregates.</t>
  </si>
  <si>
    <t>20x30cm RCC ring beam with Y14 main rebars and R8 links of 20cm spacing and including formwork and other associated works. Concrete mix proportion of 1:2:4, cement, sand and coarse aggregates.</t>
  </si>
  <si>
    <t>construction of RRC columns  for classrooms and verandah with dimension of 20cmx20cm and height not exceeded 3.8m and # of columns is 15 columns. Using 4Y12 and R6 at 20cm c/c, this includes formwork and all the support concrete needs. Columns will start from 60cm below the Ground level up to roof beam. see the drawing for further instructions.</t>
  </si>
  <si>
    <t xml:space="preserve">Supply materials and install 26/30 gauge aluminium roofing sheets nailed with steel roofing nails including rubber washers. Cost to include timber structure frames made of 15x4cm for bottom cord, rafters and king post and 7x4cm struts and 8x8cm purlins all painted. </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</si>
  <si>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</si>
  <si>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</si>
  <si>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20mm cement and sand plaster with mix ratio of 1:4 on internal wall surfaces</t>
  </si>
  <si>
    <t>20mm cement and sand plaster with mix ratio of 1:4 on external wall surfaces</t>
  </si>
  <si>
    <t xml:space="preserve">Apply one coat of white wash and 2 finishing coats of emulsion paint on internal wall surfaces. </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</si>
  <si>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</si>
  <si>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</si>
  <si>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</si>
  <si>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Subtotal for 3 new classrooms</t>
  </si>
  <si>
    <t>New classrooms in Arafat primary school,</t>
  </si>
  <si>
    <t>Biaoda town, Bay region- Southwest state of somalia-Lot-6</t>
  </si>
  <si>
    <t xml:space="preserve">Classroom rehabilitations (7) </t>
  </si>
  <si>
    <t>Note: the quantities specified below represent the total requirement for all 7 classrooms</t>
  </si>
  <si>
    <t>Subtotal for 7 classrooms rehab</t>
  </si>
  <si>
    <t>NEW CLASSROOMS (4)</t>
  </si>
  <si>
    <t>Subtotal for 4 new classrooms</t>
  </si>
  <si>
    <t>New classrooms in Mustaqbal primary school,</t>
  </si>
  <si>
    <t>Baida Town, Bay region- Southwest state of somalia-Lot-6</t>
  </si>
  <si>
    <t xml:space="preserve">LOT 6: Grand Summary </t>
  </si>
  <si>
    <t>Work:</t>
  </si>
  <si>
    <t>Description of Item</t>
  </si>
  <si>
    <t>GRAND TOTAL WORKS - USD</t>
  </si>
  <si>
    <t>Name:</t>
  </si>
  <si>
    <t>Signature</t>
  </si>
  <si>
    <t>Company</t>
  </si>
  <si>
    <t xml:space="preserve">Date: </t>
  </si>
  <si>
    <t>Rehabs and Construction Works  in Baidoa, Arafat and Mustaqbal Primary School</t>
  </si>
  <si>
    <t>Baidoa Districts, Bay region-Lot-6</t>
  </si>
  <si>
    <t>Baidoa primary school</t>
  </si>
  <si>
    <t>Arafat Primary school</t>
  </si>
  <si>
    <t>Mustaqbal Primary School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</si>
</sst>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_-* #,##0.00_-;\-* #,##0.00_-;_-* &quot;-&quot;??_-;_-@_-"/>
  </numFmts>
  <fonts count="26"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Gill Sans MT"/>
      <family val="2"/>
    </font>
    <font>
      <b/>
      <sz val="11"/>
      <color theme="1"/>
      <name val="Gill Sans MT"/>
      <family val="2"/>
    </font>
    <font>
      <sz val="11"/>
      <name val="Calibri"/>
      <family val="2"/>
      <scheme val="minor"/>
    </font>
    <font>
      <b/>
      <sz val="10"/>
      <name val="Arial"/>
      <family val="2"/>
    </font>
    <font>
      <sz val="10"/>
      <name val="Arial"/>
      <family val="2"/>
    </font>
    <font>
      <sz val="12"/>
      <name val="Calibri"/>
      <family val="2"/>
    </font>
    <font>
      <sz val="12"/>
      <name val="Calibri"/>
      <family val="2"/>
      <scheme val="minor"/>
    </font>
    <font>
      <b/>
      <sz val="12"/>
      <color theme="1"/>
      <name val="Calibri"/>
      <family val="2"/>
      <scheme val="minor"/>
    </font>
    <font>
      <b/>
      <sz val="12"/>
      <name val="Calibri"/>
      <family val="2"/>
      <scheme val="minor"/>
    </font>
    <font>
      <b/>
      <sz val="11"/>
      <name val="Calibri"/>
      <family val="2"/>
      <scheme val="minor"/>
    </font>
    <font>
      <sz val="9"/>
      <name val="Arial"/>
      <family val="2"/>
    </font>
    <font>
      <b/>
      <u/>
      <sz val="11"/>
      <name val="Calibri"/>
      <family val="2"/>
      <scheme val="minor"/>
    </font>
    <font>
      <b/>
      <sz val="8"/>
      <name val="Arial"/>
      <family val="2"/>
    </font>
    <font>
      <b/>
      <sz val="12"/>
      <name val="Calibri Light"/>
      <family val="2"/>
      <scheme val="major"/>
    </font>
    <font>
      <b/>
      <sz val="12"/>
      <name val="Arial"/>
      <family val="2"/>
    </font>
    <font>
      <sz val="11"/>
      <name val="Times New Roman"/>
      <family val="1"/>
    </font>
    <font>
      <sz val="11"/>
      <color theme="1"/>
      <name val="Times New Roman"/>
      <family val="1"/>
    </font>
    <font>
      <sz val="12"/>
      <color theme="1"/>
      <name val="Calibri"/>
      <family val="2"/>
      <scheme val="minor"/>
    </font>
    <font>
      <b/>
      <sz val="16"/>
      <color rgb="FF000000"/>
      <name val="Gill Sans MT"/>
      <family val="2"/>
    </font>
    <font>
      <b/>
      <sz val="12"/>
      <color rgb="FF000000"/>
      <name val="Gill Sans MT"/>
      <family val="2"/>
    </font>
    <font>
      <b/>
      <sz val="14"/>
      <color rgb="FF000000"/>
      <name val="Gill Sans MT"/>
      <family val="2"/>
    </font>
    <font>
      <sz val="11"/>
      <color rgb="FF000000"/>
      <name val="Calibri"/>
      <family val="2"/>
      <scheme val="minor"/>
    </font>
    <font>
      <b/>
      <sz val="11"/>
      <color rgb="FF000000"/>
      <name val="Calibri"/>
      <family val="2"/>
      <scheme val="minor"/>
    </font>
  </fonts>
  <fills count="13">
    <fill>
      <patternFill patternType="none"/>
    </fill>
    <fill>
      <patternFill patternType="gray125"/>
    </fill>
    <fill>
      <patternFill patternType="solid">
        <fgColor theme="5" tint="0.59999389629810485"/>
        <bgColor indexed="64"/>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rgb="FFF8CBAD"/>
        <bgColor rgb="FF000000"/>
      </patternFill>
    </fill>
    <fill>
      <patternFill patternType="solid">
        <fgColor rgb="FFE2EFDA"/>
        <bgColor rgb="FF000000"/>
      </patternFill>
    </fill>
    <fill>
      <patternFill patternType="solid">
        <fgColor rgb="FFD9E1F2"/>
        <bgColor rgb="FF000000"/>
      </patternFill>
    </fill>
  </fills>
  <borders count="41">
    <border>
      <left/>
      <right/>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auto="1"/>
      </left>
      <right style="medium">
        <color auto="1"/>
      </right>
      <top style="medium">
        <color auto="1"/>
      </top>
      <bottom style="medium">
        <color auto="1"/>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bottom style="thick">
        <color indexed="64"/>
      </bottom>
      <diagonal/>
    </border>
    <border>
      <left style="medium">
        <color indexed="64"/>
      </left>
      <right style="thin">
        <color indexed="64"/>
      </right>
      <top/>
      <bottom/>
      <diagonal/>
    </border>
    <border>
      <left style="thin">
        <color auto="1"/>
      </left>
      <right style="thin">
        <color auto="1"/>
      </right>
      <top style="thin">
        <color auto="1"/>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cellStyleXfs>
  <cellXfs count="161">
    <xf numFmtId="0" fontId="0" fillId="0" borderId="0" xfId="0"/>
    <xf numFmtId="0" fontId="3" fillId="2" borderId="1" xfId="0" applyFont="1" applyFill="1" applyBorder="1" applyAlignment="1">
      <alignment horizontal="left"/>
    </xf>
    <xf numFmtId="0" fontId="3" fillId="2" borderId="5" xfId="0" applyFont="1" applyFill="1" applyBorder="1"/>
    <xf numFmtId="0" fontId="4" fillId="3" borderId="6" xfId="0" applyFont="1" applyFill="1" applyBorder="1" applyAlignment="1">
      <alignment horizontal="center" vertical="center" wrapText="1"/>
    </xf>
    <xf numFmtId="0" fontId="4" fillId="3" borderId="7" xfId="0" applyFont="1" applyFill="1" applyBorder="1" applyAlignment="1">
      <alignment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vertical="center" wrapText="1"/>
    </xf>
    <xf numFmtId="0" fontId="3" fillId="4" borderId="10" xfId="0" applyFont="1" applyFill="1" applyBorder="1" applyAlignment="1">
      <alignment horizontal="center" vertical="center" wrapText="1"/>
    </xf>
    <xf numFmtId="43" fontId="5" fillId="4" borderId="11" xfId="1" applyFont="1" applyFill="1" applyBorder="1" applyAlignment="1">
      <alignment horizontal="center" vertical="center"/>
    </xf>
    <xf numFmtId="0" fontId="0" fillId="0" borderId="11" xfId="0" applyBorder="1" applyAlignment="1">
      <alignment horizontal="center" vertical="center"/>
    </xf>
    <xf numFmtId="0" fontId="5" fillId="0" borderId="11" xfId="0" applyFont="1" applyBorder="1" applyAlignment="1">
      <alignment vertical="center" wrapText="1"/>
    </xf>
    <xf numFmtId="0" fontId="5" fillId="0" borderId="11" xfId="0" applyFont="1" applyBorder="1" applyAlignment="1">
      <alignment horizontal="center" vertical="center"/>
    </xf>
    <xf numFmtId="43" fontId="5" fillId="0" borderId="11" xfId="1" applyFont="1" applyBorder="1" applyAlignment="1">
      <alignment horizontal="center" vertical="center"/>
    </xf>
    <xf numFmtId="0" fontId="7" fillId="0" borderId="11" xfId="0" applyFont="1" applyBorder="1" applyAlignment="1">
      <alignment horizontal="center" vertical="center"/>
    </xf>
    <xf numFmtId="0" fontId="5" fillId="0" borderId="11" xfId="0" applyFont="1" applyBorder="1" applyAlignment="1">
      <alignment horizontal="center" vertical="center" wrapText="1"/>
    </xf>
    <xf numFmtId="43" fontId="5" fillId="0" borderId="11" xfId="1" applyFont="1" applyFill="1" applyBorder="1" applyAlignment="1">
      <alignment horizontal="center" vertical="center"/>
    </xf>
    <xf numFmtId="0" fontId="8" fillId="5" borderId="11" xfId="0" applyFont="1" applyFill="1" applyBorder="1" applyAlignment="1">
      <alignment vertical="center" wrapText="1"/>
    </xf>
    <xf numFmtId="0" fontId="9" fillId="5" borderId="11" xfId="0" applyFont="1" applyFill="1" applyBorder="1" applyAlignment="1">
      <alignment horizontal="center" vertical="center" wrapText="1"/>
    </xf>
    <xf numFmtId="0" fontId="0" fillId="5" borderId="11" xfId="0" applyFill="1" applyBorder="1" applyAlignment="1">
      <alignment vertical="center" wrapText="1"/>
    </xf>
    <xf numFmtId="0" fontId="0" fillId="5" borderId="12" xfId="0" applyFill="1" applyBorder="1" applyAlignment="1">
      <alignment vertical="center" wrapText="1"/>
    </xf>
    <xf numFmtId="0" fontId="10" fillId="6" borderId="11" xfId="0" applyFont="1" applyFill="1" applyBorder="1" applyAlignment="1">
      <alignment horizontal="center" vertical="center"/>
    </xf>
    <xf numFmtId="43" fontId="11" fillId="6" borderId="11" xfId="1" applyFont="1" applyFill="1" applyBorder="1" applyAlignment="1">
      <alignment horizontal="center" vertical="center"/>
    </xf>
    <xf numFmtId="0" fontId="2" fillId="4" borderId="11" xfId="0" applyFont="1" applyFill="1" applyBorder="1" applyAlignment="1">
      <alignment horizontal="center" vertical="center"/>
    </xf>
    <xf numFmtId="0" fontId="2" fillId="4" borderId="11" xfId="0" applyFont="1" applyFill="1" applyBorder="1" applyAlignment="1">
      <alignment vertical="center" wrapText="1"/>
    </xf>
    <xf numFmtId="0" fontId="12" fillId="4" borderId="11" xfId="0" applyFont="1" applyFill="1" applyBorder="1" applyAlignment="1">
      <alignment horizontal="center" vertical="center"/>
    </xf>
    <xf numFmtId="43" fontId="12" fillId="4" borderId="11" xfId="1" applyFont="1" applyFill="1" applyBorder="1" applyAlignment="1">
      <alignment horizontal="center" vertical="center"/>
    </xf>
    <xf numFmtId="0" fontId="13" fillId="0" borderId="11" xfId="0" applyFont="1" applyBorder="1" applyAlignment="1">
      <alignment horizontal="center" vertical="center"/>
    </xf>
    <xf numFmtId="0" fontId="5" fillId="5" borderId="11" xfId="0" applyFont="1" applyFill="1" applyBorder="1" applyAlignment="1">
      <alignment horizontal="center" vertical="center"/>
    </xf>
    <xf numFmtId="0" fontId="0" fillId="5" borderId="11" xfId="0" applyFill="1" applyBorder="1" applyAlignment="1">
      <alignment horizontal="center" vertical="center"/>
    </xf>
    <xf numFmtId="0" fontId="5" fillId="5" borderId="12" xfId="0" applyFont="1" applyFill="1" applyBorder="1" applyAlignment="1">
      <alignment vertical="center" wrapText="1"/>
    </xf>
    <xf numFmtId="0" fontId="7" fillId="5" borderId="11" xfId="0" applyFont="1" applyFill="1" applyBorder="1" applyAlignment="1">
      <alignment horizontal="center" vertical="center"/>
    </xf>
    <xf numFmtId="0" fontId="5" fillId="5" borderId="11" xfId="0" applyFont="1" applyFill="1" applyBorder="1" applyAlignment="1">
      <alignment vertical="center" wrapText="1"/>
    </xf>
    <xf numFmtId="2" fontId="5" fillId="0" borderId="11" xfId="0" applyNumberFormat="1" applyFont="1" applyBorder="1" applyAlignment="1">
      <alignment horizontal="center" vertical="center" wrapText="1"/>
    </xf>
    <xf numFmtId="2" fontId="5" fillId="0" borderId="11" xfId="0" applyNumberFormat="1" applyFont="1" applyBorder="1" applyAlignment="1">
      <alignment horizontal="center" vertical="center"/>
    </xf>
    <xf numFmtId="2" fontId="5" fillId="0" borderId="11" xfId="1" applyNumberFormat="1" applyFont="1" applyBorder="1" applyAlignment="1">
      <alignment horizontal="center" vertical="center"/>
    </xf>
    <xf numFmtId="0" fontId="2" fillId="6" borderId="11" xfId="0" applyFont="1" applyFill="1" applyBorder="1" applyAlignment="1">
      <alignment horizontal="center" vertical="center"/>
    </xf>
    <xf numFmtId="43" fontId="12" fillId="6" borderId="11" xfId="1" applyFont="1" applyFill="1" applyBorder="1" applyAlignment="1">
      <alignment horizontal="center" vertical="center"/>
    </xf>
    <xf numFmtId="0" fontId="3" fillId="2" borderId="11" xfId="0" applyFont="1" applyFill="1" applyBorder="1" applyAlignment="1">
      <alignment horizontal="left"/>
    </xf>
    <xf numFmtId="43" fontId="0" fillId="0" borderId="0" xfId="0" applyNumberFormat="1"/>
    <xf numFmtId="0" fontId="14" fillId="4" borderId="11" xfId="0" applyFont="1" applyFill="1" applyBorder="1" applyAlignment="1">
      <alignment horizontal="left" vertical="center"/>
    </xf>
    <xf numFmtId="0" fontId="0" fillId="4" borderId="11" xfId="0" applyFont="1" applyFill="1" applyBorder="1"/>
    <xf numFmtId="0" fontId="0" fillId="4" borderId="11" xfId="0" applyFont="1" applyFill="1" applyBorder="1" applyAlignment="1">
      <alignment horizontal="center"/>
    </xf>
    <xf numFmtId="2" fontId="5" fillId="4" borderId="18" xfId="0" applyNumberFormat="1" applyFont="1" applyFill="1" applyBorder="1" applyAlignment="1">
      <alignment horizontal="center" vertical="center" wrapText="1"/>
    </xf>
    <xf numFmtId="2" fontId="12" fillId="4" borderId="11" xfId="1" applyNumberFormat="1" applyFont="1" applyFill="1" applyBorder="1" applyAlignment="1">
      <alignment horizontal="center" vertical="center"/>
    </xf>
    <xf numFmtId="0" fontId="0" fillId="0" borderId="0" xfId="0" applyFont="1" applyAlignment="1">
      <alignment vertical="center" wrapText="1"/>
    </xf>
    <xf numFmtId="0" fontId="0" fillId="0" borderId="19" xfId="0" applyFont="1" applyBorder="1" applyAlignment="1">
      <alignment horizontal="center" vertical="center"/>
    </xf>
    <xf numFmtId="2" fontId="0" fillId="0" borderId="19" xfId="0" applyNumberFormat="1" applyFont="1" applyBorder="1" applyAlignment="1">
      <alignment horizontal="center" vertical="center"/>
    </xf>
    <xf numFmtId="2" fontId="12" fillId="6" borderId="11" xfId="1" applyNumberFormat="1" applyFont="1" applyFill="1" applyBorder="1" applyAlignment="1">
      <alignment horizontal="center" vertical="center"/>
    </xf>
    <xf numFmtId="0" fontId="0" fillId="7" borderId="11" xfId="0" applyFill="1" applyBorder="1" applyAlignment="1">
      <alignment horizontal="center" vertical="center"/>
    </xf>
    <xf numFmtId="43" fontId="5" fillId="7" borderId="11" xfId="1" applyFont="1" applyFill="1" applyBorder="1" applyAlignment="1">
      <alignment horizontal="left" vertical="center"/>
    </xf>
    <xf numFmtId="0" fontId="2" fillId="5" borderId="11" xfId="0" applyFont="1" applyFill="1" applyBorder="1" applyAlignment="1">
      <alignment horizontal="center" vertical="center"/>
    </xf>
    <xf numFmtId="44" fontId="11" fillId="5" borderId="11" xfId="2" applyFont="1" applyFill="1" applyBorder="1" applyAlignment="1">
      <alignment horizontal="center" vertical="center"/>
    </xf>
    <xf numFmtId="2" fontId="12" fillId="5" borderId="11" xfId="1" applyNumberFormat="1" applyFont="1" applyFill="1" applyBorder="1" applyAlignment="1">
      <alignment horizontal="center" vertical="center"/>
    </xf>
    <xf numFmtId="0" fontId="15" fillId="8" borderId="20" xfId="0" applyFont="1" applyFill="1" applyBorder="1" applyAlignment="1">
      <alignment horizontal="center" vertical="center"/>
    </xf>
    <xf numFmtId="44" fontId="17" fillId="8" borderId="17" xfId="2" applyFont="1" applyFill="1" applyBorder="1"/>
    <xf numFmtId="0" fontId="0" fillId="9" borderId="0" xfId="0" applyFill="1" applyAlignment="1">
      <alignment horizontal="center"/>
    </xf>
    <xf numFmtId="0" fontId="0" fillId="9" borderId="0" xfId="0" applyFont="1" applyFill="1" applyAlignment="1">
      <alignment wrapText="1"/>
    </xf>
    <xf numFmtId="0" fontId="0" fillId="9" borderId="0" xfId="0" applyFont="1" applyFill="1" applyAlignment="1">
      <alignment horizontal="center" vertical="center"/>
    </xf>
    <xf numFmtId="0" fontId="0" fillId="9" borderId="0" xfId="0" applyFont="1" applyFill="1"/>
    <xf numFmtId="0" fontId="2" fillId="9" borderId="0" xfId="0" applyFont="1" applyFill="1" applyAlignment="1">
      <alignment horizontal="center"/>
    </xf>
    <xf numFmtId="0" fontId="0" fillId="9" borderId="0" xfId="0" applyFont="1" applyFill="1" applyAlignment="1">
      <alignment horizontal="right" vertical="center" wrapText="1"/>
    </xf>
    <xf numFmtId="2" fontId="5" fillId="4" borderId="11" xfId="0" applyNumberFormat="1" applyFont="1" applyFill="1" applyBorder="1" applyAlignment="1">
      <alignment horizontal="center" vertical="center"/>
    </xf>
    <xf numFmtId="0" fontId="18" fillId="0" borderId="11" xfId="0" applyFont="1" applyBorder="1" applyAlignment="1">
      <alignment horizontal="center" vertical="center"/>
    </xf>
    <xf numFmtId="2" fontId="0" fillId="0" borderId="11" xfId="0" applyNumberFormat="1" applyBorder="1" applyAlignment="1">
      <alignment horizontal="center" vertical="center"/>
    </xf>
    <xf numFmtId="0" fontId="19" fillId="0" borderId="11" xfId="0" applyFont="1" applyBorder="1" applyAlignment="1">
      <alignment horizontal="center" vertical="center"/>
    </xf>
    <xf numFmtId="2" fontId="13" fillId="0" borderId="11" xfId="0" applyNumberFormat="1" applyFont="1" applyBorder="1" applyAlignment="1">
      <alignment horizontal="center" vertical="center"/>
    </xf>
    <xf numFmtId="4" fontId="0" fillId="0" borderId="11" xfId="0" applyNumberFormat="1" applyBorder="1" applyAlignment="1">
      <alignment horizontal="center" vertical="center"/>
    </xf>
    <xf numFmtId="4" fontId="5" fillId="0" borderId="11" xfId="0" applyNumberFormat="1" applyFont="1" applyBorder="1" applyAlignment="1">
      <alignment horizontal="center" vertical="center"/>
    </xf>
    <xf numFmtId="2" fontId="19" fillId="0" borderId="0" xfId="0" applyNumberFormat="1" applyFont="1" applyBorder="1" applyAlignment="1">
      <alignment horizontal="center" vertical="center"/>
    </xf>
    <xf numFmtId="0" fontId="0" fillId="0" borderId="11" xfId="0" applyBorder="1" applyAlignment="1">
      <alignment horizontal="left" vertical="center" wrapText="1"/>
    </xf>
    <xf numFmtId="0" fontId="0" fillId="0" borderId="11" xfId="0" applyBorder="1" applyAlignment="1">
      <alignment horizontal="center" vertical="center" wrapText="1"/>
    </xf>
    <xf numFmtId="2" fontId="1" fillId="0" borderId="11" xfId="3" applyNumberFormat="1" applyFont="1" applyFill="1" applyBorder="1" applyAlignment="1">
      <alignment horizontal="center" vertical="center" wrapText="1"/>
    </xf>
    <xf numFmtId="0" fontId="0" fillId="5" borderId="11" xfId="0" applyFont="1" applyFill="1" applyBorder="1" applyAlignment="1">
      <alignment vertical="center" wrapText="1"/>
    </xf>
    <xf numFmtId="0" fontId="20" fillId="5" borderId="11" xfId="0" applyFont="1" applyFill="1" applyBorder="1" applyAlignment="1">
      <alignment horizontal="center" vertical="center"/>
    </xf>
    <xf numFmtId="0" fontId="20" fillId="5" borderId="11" xfId="0" applyFont="1" applyFill="1" applyBorder="1" applyAlignment="1">
      <alignment vertical="center"/>
    </xf>
    <xf numFmtId="2" fontId="20" fillId="5" borderId="11" xfId="0" applyNumberFormat="1" applyFont="1" applyFill="1" applyBorder="1" applyAlignment="1">
      <alignment horizontal="center" vertical="center"/>
    </xf>
    <xf numFmtId="0" fontId="12" fillId="5" borderId="12"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12" fillId="5" borderId="14" xfId="0" applyFont="1" applyFill="1" applyBorder="1" applyAlignment="1">
      <alignment horizontal="center" vertical="center" wrapText="1"/>
    </xf>
    <xf numFmtId="43" fontId="12" fillId="5" borderId="11" xfId="1" applyFont="1" applyFill="1" applyBorder="1" applyAlignment="1">
      <alignment horizontal="center" vertical="center"/>
    </xf>
    <xf numFmtId="0" fontId="10" fillId="2" borderId="1" xfId="0" applyFont="1" applyFill="1" applyBorder="1" applyAlignment="1">
      <alignment horizontal="left"/>
    </xf>
    <xf numFmtId="0" fontId="10" fillId="2" borderId="5" xfId="0" applyFont="1" applyFill="1" applyBorder="1"/>
    <xf numFmtId="2" fontId="12" fillId="7" borderId="11" xfId="1" applyNumberFormat="1" applyFont="1" applyFill="1" applyBorder="1" applyAlignment="1">
      <alignment horizontal="center" vertical="center"/>
    </xf>
    <xf numFmtId="0" fontId="2" fillId="0" borderId="11" xfId="0" applyFont="1" applyBorder="1" applyAlignment="1">
      <alignment horizontal="center" vertical="center"/>
    </xf>
    <xf numFmtId="0" fontId="0" fillId="2" borderId="0" xfId="0" applyFill="1"/>
    <xf numFmtId="0" fontId="21" fillId="10" borderId="2" xfId="0" applyFont="1" applyFill="1" applyBorder="1" applyAlignment="1">
      <alignment vertical="center"/>
    </xf>
    <xf numFmtId="0" fontId="21" fillId="10" borderId="3" xfId="0" applyFont="1" applyFill="1" applyBorder="1"/>
    <xf numFmtId="0" fontId="21" fillId="10" borderId="4" xfId="0" applyFont="1" applyFill="1" applyBorder="1"/>
    <xf numFmtId="0" fontId="22" fillId="10" borderId="32" xfId="0" applyFont="1" applyFill="1" applyBorder="1" applyAlignment="1">
      <alignment horizontal="left" vertical="center"/>
    </xf>
    <xf numFmtId="0" fontId="22" fillId="10" borderId="33" xfId="0" applyFont="1" applyFill="1" applyBorder="1" applyAlignment="1">
      <alignment horizontal="left"/>
    </xf>
    <xf numFmtId="0" fontId="22" fillId="10" borderId="5" xfId="0" applyFont="1" applyFill="1" applyBorder="1"/>
    <xf numFmtId="0" fontId="22" fillId="11" borderId="34" xfId="0" applyFont="1" applyFill="1" applyBorder="1" applyAlignment="1">
      <alignment vertical="center" wrapText="1"/>
    </xf>
    <xf numFmtId="0" fontId="22" fillId="11" borderId="35" xfId="0" applyFont="1" applyFill="1" applyBorder="1" applyAlignment="1">
      <alignment vertical="center" wrapText="1"/>
    </xf>
    <xf numFmtId="0" fontId="22" fillId="11" borderId="36" xfId="0" applyFont="1" applyFill="1" applyBorder="1" applyAlignment="1">
      <alignment vertical="center" wrapText="1"/>
    </xf>
    <xf numFmtId="0" fontId="22" fillId="0" borderId="31" xfId="0" applyFont="1" applyBorder="1" applyAlignment="1">
      <alignment horizontal="center" vertical="center" wrapText="1"/>
    </xf>
    <xf numFmtId="0" fontId="23" fillId="0" borderId="19" xfId="0" applyFont="1" applyBorder="1" applyAlignment="1">
      <alignment vertical="center" wrapText="1"/>
    </xf>
    <xf numFmtId="43" fontId="23" fillId="0" borderId="27" xfId="0" applyNumberFormat="1" applyFont="1" applyBorder="1" applyAlignment="1">
      <alignment horizontal="center" vertical="center" wrapText="1"/>
    </xf>
    <xf numFmtId="0" fontId="23" fillId="0" borderId="11" xfId="0" applyFont="1" applyBorder="1" applyAlignment="1">
      <alignment vertical="center" wrapText="1"/>
    </xf>
    <xf numFmtId="0" fontId="22" fillId="0" borderId="37" xfId="0" applyFont="1" applyBorder="1" applyAlignment="1">
      <alignment horizontal="center" vertical="center" wrapText="1"/>
    </xf>
    <xf numFmtId="0" fontId="23" fillId="0" borderId="38" xfId="0" applyFont="1" applyBorder="1" applyAlignment="1">
      <alignment vertical="center" wrapText="1"/>
    </xf>
    <xf numFmtId="43" fontId="22" fillId="0" borderId="39" xfId="0" applyNumberFormat="1" applyFont="1" applyBorder="1" applyAlignment="1">
      <alignment horizontal="center" vertical="center" wrapText="1"/>
    </xf>
    <xf numFmtId="44" fontId="22" fillId="12" borderId="40" xfId="2" applyFont="1" applyFill="1" applyBorder="1" applyAlignment="1">
      <alignment horizontal="center" vertical="center" wrapText="1"/>
    </xf>
    <xf numFmtId="0" fontId="24" fillId="0" borderId="0" xfId="0" applyFont="1"/>
    <xf numFmtId="0" fontId="25" fillId="0" borderId="0" xfId="0" applyFont="1" applyAlignment="1">
      <alignment horizontal="right" vertical="center"/>
    </xf>
    <xf numFmtId="0" fontId="10" fillId="2" borderId="11" xfId="0" applyFont="1" applyFill="1" applyBorder="1" applyAlignment="1">
      <alignment horizontal="left"/>
    </xf>
    <xf numFmtId="0" fontId="25" fillId="0" borderId="0" xfId="0" applyFont="1" applyAlignment="1">
      <alignment horizontal="center" vertical="center"/>
    </xf>
    <xf numFmtId="0" fontId="22" fillId="10" borderId="2" xfId="0" applyFont="1" applyFill="1" applyBorder="1" applyAlignment="1">
      <alignment horizontal="left" vertical="center" wrapText="1"/>
    </xf>
    <xf numFmtId="0" fontId="22" fillId="10" borderId="4" xfId="0" applyFont="1" applyFill="1" applyBorder="1" applyAlignment="1">
      <alignment horizontal="left" vertical="center" wrapText="1"/>
    </xf>
    <xf numFmtId="0" fontId="23" fillId="10" borderId="2" xfId="0" applyFont="1" applyFill="1" applyBorder="1" applyAlignment="1">
      <alignment horizontal="left"/>
    </xf>
    <xf numFmtId="0" fontId="23" fillId="10" borderId="4" xfId="0" applyFont="1" applyFill="1" applyBorder="1" applyAlignment="1">
      <alignment horizontal="left"/>
    </xf>
    <xf numFmtId="0" fontId="22" fillId="10" borderId="2" xfId="0" applyFont="1" applyFill="1" applyBorder="1" applyAlignment="1">
      <alignment horizontal="left"/>
    </xf>
    <xf numFmtId="0" fontId="22" fillId="10" borderId="4" xfId="0" applyFont="1" applyFill="1" applyBorder="1" applyAlignment="1">
      <alignment horizontal="left"/>
    </xf>
    <xf numFmtId="0" fontId="22" fillId="12" borderId="2" xfId="0" applyFont="1" applyFill="1" applyBorder="1" applyAlignment="1">
      <alignment horizontal="center" vertical="center" wrapText="1"/>
    </xf>
    <xf numFmtId="0" fontId="22" fillId="12" borderId="3" xfId="0" applyFont="1" applyFill="1" applyBorder="1" applyAlignment="1">
      <alignment horizontal="center" vertical="center" wrapText="1"/>
    </xf>
    <xf numFmtId="0" fontId="12" fillId="5" borderId="12"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12" fillId="5" borderId="14" xfId="0" applyFont="1" applyFill="1" applyBorder="1" applyAlignment="1">
      <alignment horizontal="center" vertical="center" wrapText="1"/>
    </xf>
    <xf numFmtId="0" fontId="16" fillId="8" borderId="21" xfId="0" applyFont="1" applyFill="1" applyBorder="1" applyAlignment="1">
      <alignment horizontal="center" vertical="center"/>
    </xf>
    <xf numFmtId="0" fontId="16" fillId="8" borderId="16" xfId="0" applyFont="1" applyFill="1" applyBorder="1" applyAlignment="1">
      <alignment horizontal="center" vertical="center"/>
    </xf>
    <xf numFmtId="0" fontId="16" fillId="8" borderId="22" xfId="0" applyFont="1" applyFill="1" applyBorder="1" applyAlignment="1">
      <alignment horizontal="center" vertical="center"/>
    </xf>
    <xf numFmtId="0" fontId="0" fillId="0" borderId="23" xfId="0" applyFont="1" applyBorder="1" applyAlignment="1">
      <alignment horizontal="center" vertical="center"/>
    </xf>
    <xf numFmtId="0" fontId="0" fillId="0" borderId="24" xfId="0" applyFont="1" applyBorder="1" applyAlignment="1">
      <alignment horizontal="center" vertical="center"/>
    </xf>
    <xf numFmtId="0" fontId="0" fillId="0" borderId="25" xfId="0" applyFont="1" applyBorder="1" applyAlignment="1">
      <alignment horizontal="center" vertical="center"/>
    </xf>
    <xf numFmtId="0" fontId="0" fillId="0" borderId="26" xfId="0" applyFont="1" applyBorder="1" applyAlignment="1">
      <alignment horizontal="center" vertical="center"/>
    </xf>
    <xf numFmtId="0" fontId="0" fillId="0" borderId="11"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12" fillId="6" borderId="12"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11" fillId="5" borderId="12" xfId="0" applyFont="1" applyFill="1" applyBorder="1" applyAlignment="1">
      <alignment horizontal="left" vertical="center" wrapText="1"/>
    </xf>
    <xf numFmtId="0" fontId="11" fillId="5" borderId="13" xfId="0" applyFont="1" applyFill="1" applyBorder="1" applyAlignment="1">
      <alignment horizontal="left" vertical="center" wrapText="1"/>
    </xf>
    <xf numFmtId="0" fontId="11" fillId="5" borderId="14" xfId="0" applyFont="1" applyFill="1" applyBorder="1" applyAlignment="1">
      <alignment horizontal="left" vertical="center" wrapText="1"/>
    </xf>
    <xf numFmtId="44" fontId="11" fillId="5" borderId="12" xfId="0" applyNumberFormat="1" applyFont="1" applyFill="1" applyBorder="1" applyAlignment="1">
      <alignment horizontal="left" vertical="center" wrapText="1"/>
    </xf>
    <xf numFmtId="0" fontId="3" fillId="2" borderId="11" xfId="0" applyFont="1" applyFill="1" applyBorder="1" applyAlignment="1">
      <alignment horizontal="left"/>
    </xf>
    <xf numFmtId="0" fontId="3" fillId="2" borderId="15" xfId="0" applyFont="1" applyFill="1" applyBorder="1" applyAlignment="1">
      <alignment horizontal="left"/>
    </xf>
    <xf numFmtId="0" fontId="3" fillId="2" borderId="16" xfId="0" applyFont="1" applyFill="1" applyBorder="1" applyAlignment="1">
      <alignment horizontal="left"/>
    </xf>
    <xf numFmtId="0" fontId="3" fillId="2" borderId="17" xfId="0" applyFont="1" applyFill="1" applyBorder="1" applyAlignment="1">
      <alignment horizontal="left"/>
    </xf>
    <xf numFmtId="0" fontId="3" fillId="2" borderId="2" xfId="0" applyFont="1" applyFill="1" applyBorder="1" applyAlignment="1">
      <alignment horizontal="left"/>
    </xf>
    <xf numFmtId="0" fontId="3" fillId="2" borderId="3" xfId="0" applyFont="1" applyFill="1" applyBorder="1" applyAlignment="1">
      <alignment horizontal="left"/>
    </xf>
    <xf numFmtId="0" fontId="3" fillId="2" borderId="4" xfId="0" applyFont="1" applyFill="1" applyBorder="1" applyAlignment="1">
      <alignment horizontal="left"/>
    </xf>
    <xf numFmtId="0" fontId="6" fillId="4" borderId="12" xfId="0" applyFont="1" applyFill="1" applyBorder="1" applyAlignment="1">
      <alignment horizontal="left" vertical="center"/>
    </xf>
    <xf numFmtId="0" fontId="6" fillId="4" borderId="13" xfId="0" applyFont="1" applyFill="1" applyBorder="1" applyAlignment="1">
      <alignment horizontal="left" vertical="center"/>
    </xf>
    <xf numFmtId="0" fontId="6" fillId="4" borderId="14" xfId="0" applyFont="1" applyFill="1" applyBorder="1" applyAlignment="1">
      <alignment horizontal="left" vertical="center"/>
    </xf>
    <xf numFmtId="0" fontId="10" fillId="6" borderId="12"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0" fillId="6" borderId="14" xfId="0" applyFont="1" applyFill="1" applyBorder="1" applyAlignment="1">
      <alignment horizontal="center" vertical="center" wrapText="1"/>
    </xf>
    <xf numFmtId="0" fontId="10" fillId="2" borderId="3" xfId="0" applyFont="1" applyFill="1" applyBorder="1" applyAlignment="1">
      <alignment horizontal="left"/>
    </xf>
    <xf numFmtId="0" fontId="10" fillId="2" borderId="4" xfId="0" applyFont="1" applyFill="1" applyBorder="1" applyAlignment="1">
      <alignment horizontal="left"/>
    </xf>
    <xf numFmtId="0" fontId="10" fillId="2" borderId="2" xfId="0" applyFont="1" applyFill="1" applyBorder="1" applyAlignment="1">
      <alignment horizontal="left"/>
    </xf>
    <xf numFmtId="2" fontId="11" fillId="0" borderId="12" xfId="0" applyNumberFormat="1" applyFont="1" applyBorder="1" applyAlignment="1">
      <alignment horizontal="left" vertical="center" wrapText="1"/>
    </xf>
    <xf numFmtId="0" fontId="11" fillId="0" borderId="13" xfId="0" applyFont="1" applyBorder="1" applyAlignment="1">
      <alignment horizontal="left" vertical="center" wrapText="1"/>
    </xf>
    <xf numFmtId="0" fontId="11" fillId="0" borderId="14" xfId="0" applyFont="1" applyBorder="1" applyAlignment="1">
      <alignment horizontal="left" vertical="center" wrapText="1"/>
    </xf>
    <xf numFmtId="44" fontId="11" fillId="0" borderId="12" xfId="0" applyNumberFormat="1" applyFont="1" applyBorder="1" applyAlignment="1">
      <alignment horizontal="left" vertical="center" wrapText="1"/>
    </xf>
    <xf numFmtId="44" fontId="11" fillId="0" borderId="13" xfId="0" applyNumberFormat="1" applyFont="1" applyBorder="1" applyAlignment="1">
      <alignment horizontal="left" vertical="center" wrapText="1"/>
    </xf>
    <xf numFmtId="44" fontId="11" fillId="0" borderId="14" xfId="0" applyNumberFormat="1" applyFont="1" applyBorder="1" applyAlignment="1">
      <alignment horizontal="left" vertical="center" wrapText="1"/>
    </xf>
  </cellXfs>
  <cellStyles count="4">
    <cellStyle name="Comma" xfId="1" builtinId="3"/>
    <cellStyle name="Comma 3" xfId="3" xr:uid="{86AEB510-7242-4877-B39E-03CE891FE318}"/>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13758</xdr:colOff>
      <xdr:row>0</xdr:row>
      <xdr:rowOff>78318</xdr:rowOff>
    </xdr:from>
    <xdr:to>
      <xdr:col>1</xdr:col>
      <xdr:colOff>357235</xdr:colOff>
      <xdr:row>0</xdr:row>
      <xdr:rowOff>428625</xdr:rowOff>
    </xdr:to>
    <xdr:pic>
      <xdr:nvPicPr>
        <xdr:cNvPr id="5" name="Graphic 6">
          <a:extLst>
            <a:ext uri="{FF2B5EF4-FFF2-40B4-BE49-F238E27FC236}">
              <a16:creationId xmlns:a16="http://schemas.microsoft.com/office/drawing/2014/main" id="{E43D229E-9E88-4F52-8BAB-F5065C6A40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758" y="78318"/>
          <a:ext cx="1172152" cy="350307"/>
        </a:xfrm>
        <a:prstGeom prst="rect">
          <a:avLst/>
        </a:prstGeom>
      </xdr:spPr>
    </xdr:pic>
    <xdr:clientData/>
  </xdr:twoCellAnchor>
  <xdr:twoCellAnchor editAs="oneCell">
    <xdr:from>
      <xdr:col>1</xdr:col>
      <xdr:colOff>2137834</xdr:colOff>
      <xdr:row>0</xdr:row>
      <xdr:rowOff>42333</xdr:rowOff>
    </xdr:from>
    <xdr:to>
      <xdr:col>1</xdr:col>
      <xdr:colOff>3239087</xdr:colOff>
      <xdr:row>0</xdr:row>
      <xdr:rowOff>457200</xdr:rowOff>
    </xdr:to>
    <xdr:pic>
      <xdr:nvPicPr>
        <xdr:cNvPr id="6" name="officeArt object" descr="Picture 3">
          <a:extLst>
            <a:ext uri="{FF2B5EF4-FFF2-40B4-BE49-F238E27FC236}">
              <a16:creationId xmlns:a16="http://schemas.microsoft.com/office/drawing/2014/main" id="{50FC75F4-9711-4C3D-AE20-437AD48A5796}"/>
            </a:ext>
          </a:extLst>
        </xdr:cNvPr>
        <xdr:cNvPicPr/>
      </xdr:nvPicPr>
      <xdr:blipFill>
        <a:blip xmlns:r="http://schemas.openxmlformats.org/officeDocument/2006/relationships" r:embed="rId3"/>
        <a:stretch>
          <a:fillRect/>
        </a:stretch>
      </xdr:blipFill>
      <xdr:spPr>
        <a:xfrm>
          <a:off x="2966509" y="42333"/>
          <a:ext cx="1101253" cy="414867"/>
        </a:xfrm>
        <a:prstGeom prst="rect">
          <a:avLst/>
        </a:prstGeom>
        <a:ln w="12700" cap="flat">
          <a:noFill/>
          <a:miter lim="400000"/>
        </a:ln>
        <a:effectLst/>
      </xdr:spPr>
    </xdr:pic>
    <xdr:clientData/>
  </xdr:twoCellAnchor>
  <xdr:oneCellAnchor>
    <xdr:from>
      <xdr:col>2</xdr:col>
      <xdr:colOff>522816</xdr:colOff>
      <xdr:row>0</xdr:row>
      <xdr:rowOff>86783</xdr:rowOff>
    </xdr:from>
    <xdr:ext cx="1416050" cy="365075"/>
    <xdr:pic>
      <xdr:nvPicPr>
        <xdr:cNvPr id="7" name="Picture 6">
          <a:extLst>
            <a:ext uri="{FF2B5EF4-FFF2-40B4-BE49-F238E27FC236}">
              <a16:creationId xmlns:a16="http://schemas.microsoft.com/office/drawing/2014/main" id="{37B738D9-B419-4599-8B86-2078EA526C7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5313891" y="86783"/>
          <a:ext cx="1416050" cy="36507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32808</xdr:colOff>
      <xdr:row>0</xdr:row>
      <xdr:rowOff>42335</xdr:rowOff>
    </xdr:from>
    <xdr:to>
      <xdr:col>1</xdr:col>
      <xdr:colOff>452485</xdr:colOff>
      <xdr:row>0</xdr:row>
      <xdr:rowOff>392642</xdr:rowOff>
    </xdr:to>
    <xdr:pic>
      <xdr:nvPicPr>
        <xdr:cNvPr id="4" name="Graphic 6">
          <a:extLst>
            <a:ext uri="{FF2B5EF4-FFF2-40B4-BE49-F238E27FC236}">
              <a16:creationId xmlns:a16="http://schemas.microsoft.com/office/drawing/2014/main" id="{C24F7450-2239-4F5E-8FA9-8DD6D5EC47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2808" y="42335"/>
          <a:ext cx="1171094" cy="350307"/>
        </a:xfrm>
        <a:prstGeom prst="rect">
          <a:avLst/>
        </a:prstGeom>
      </xdr:spPr>
    </xdr:pic>
    <xdr:clientData/>
  </xdr:twoCellAnchor>
  <xdr:twoCellAnchor editAs="oneCell">
    <xdr:from>
      <xdr:col>1</xdr:col>
      <xdr:colOff>2169584</xdr:colOff>
      <xdr:row>0</xdr:row>
      <xdr:rowOff>52916</xdr:rowOff>
    </xdr:from>
    <xdr:to>
      <xdr:col>3</xdr:col>
      <xdr:colOff>222837</xdr:colOff>
      <xdr:row>0</xdr:row>
      <xdr:rowOff>467783</xdr:rowOff>
    </xdr:to>
    <xdr:pic>
      <xdr:nvPicPr>
        <xdr:cNvPr id="5" name="officeArt object" descr="Picture 3">
          <a:extLst>
            <a:ext uri="{FF2B5EF4-FFF2-40B4-BE49-F238E27FC236}">
              <a16:creationId xmlns:a16="http://schemas.microsoft.com/office/drawing/2014/main" id="{D70800B7-3C6F-4357-BFCB-2F46F2E54ABE}"/>
            </a:ext>
          </a:extLst>
        </xdr:cNvPr>
        <xdr:cNvPicPr/>
      </xdr:nvPicPr>
      <xdr:blipFill>
        <a:blip xmlns:r="http://schemas.openxmlformats.org/officeDocument/2006/relationships" r:embed="rId3"/>
        <a:stretch>
          <a:fillRect/>
        </a:stretch>
      </xdr:blipFill>
      <xdr:spPr>
        <a:xfrm>
          <a:off x="2921001" y="52916"/>
          <a:ext cx="1101253" cy="414867"/>
        </a:xfrm>
        <a:prstGeom prst="rect">
          <a:avLst/>
        </a:prstGeom>
        <a:ln w="12700" cap="flat">
          <a:noFill/>
          <a:miter lim="400000"/>
        </a:ln>
        <a:effectLst/>
      </xdr:spPr>
    </xdr:pic>
    <xdr:clientData/>
  </xdr:twoCellAnchor>
  <xdr:oneCellAnchor>
    <xdr:from>
      <xdr:col>4</xdr:col>
      <xdr:colOff>521758</xdr:colOff>
      <xdr:row>0</xdr:row>
      <xdr:rowOff>76200</xdr:rowOff>
    </xdr:from>
    <xdr:ext cx="1416050" cy="365075"/>
    <xdr:pic>
      <xdr:nvPicPr>
        <xdr:cNvPr id="6" name="Picture 5">
          <a:extLst>
            <a:ext uri="{FF2B5EF4-FFF2-40B4-BE49-F238E27FC236}">
              <a16:creationId xmlns:a16="http://schemas.microsoft.com/office/drawing/2014/main" id="{32929183-0C4C-4A53-A897-AD479197EF7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5009091" y="7620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43392</xdr:colOff>
      <xdr:row>0</xdr:row>
      <xdr:rowOff>74084</xdr:rowOff>
    </xdr:from>
    <xdr:to>
      <xdr:col>1</xdr:col>
      <xdr:colOff>463069</xdr:colOff>
      <xdr:row>0</xdr:row>
      <xdr:rowOff>427566</xdr:rowOff>
    </xdr:to>
    <xdr:pic>
      <xdr:nvPicPr>
        <xdr:cNvPr id="4" name="Graphic 6">
          <a:extLst>
            <a:ext uri="{FF2B5EF4-FFF2-40B4-BE49-F238E27FC236}">
              <a16:creationId xmlns:a16="http://schemas.microsoft.com/office/drawing/2014/main" id="{0EBD9D07-9BEB-44F7-A527-02B532A893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3392" y="74084"/>
          <a:ext cx="1171094" cy="353482"/>
        </a:xfrm>
        <a:prstGeom prst="rect">
          <a:avLst/>
        </a:prstGeom>
      </xdr:spPr>
    </xdr:pic>
    <xdr:clientData/>
  </xdr:twoCellAnchor>
  <xdr:twoCellAnchor editAs="oneCell">
    <xdr:from>
      <xdr:col>1</xdr:col>
      <xdr:colOff>2137834</xdr:colOff>
      <xdr:row>0</xdr:row>
      <xdr:rowOff>42333</xdr:rowOff>
    </xdr:from>
    <xdr:to>
      <xdr:col>3</xdr:col>
      <xdr:colOff>486362</xdr:colOff>
      <xdr:row>0</xdr:row>
      <xdr:rowOff>460375</xdr:rowOff>
    </xdr:to>
    <xdr:pic>
      <xdr:nvPicPr>
        <xdr:cNvPr id="5" name="officeArt object" descr="Picture 3">
          <a:extLst>
            <a:ext uri="{FF2B5EF4-FFF2-40B4-BE49-F238E27FC236}">
              <a16:creationId xmlns:a16="http://schemas.microsoft.com/office/drawing/2014/main" id="{B9ED7630-77E4-4F50-A762-DA367761251E}"/>
            </a:ext>
          </a:extLst>
        </xdr:cNvPr>
        <xdr:cNvPicPr/>
      </xdr:nvPicPr>
      <xdr:blipFill>
        <a:blip xmlns:r="http://schemas.openxmlformats.org/officeDocument/2006/relationships" r:embed="rId3"/>
        <a:stretch>
          <a:fillRect/>
        </a:stretch>
      </xdr:blipFill>
      <xdr:spPr>
        <a:xfrm>
          <a:off x="2966509" y="42333"/>
          <a:ext cx="1101253" cy="414867"/>
        </a:xfrm>
        <a:prstGeom prst="rect">
          <a:avLst/>
        </a:prstGeom>
        <a:ln w="12700" cap="flat">
          <a:noFill/>
          <a:miter lim="400000"/>
        </a:ln>
        <a:effectLst/>
      </xdr:spPr>
    </xdr:pic>
    <xdr:clientData/>
  </xdr:twoCellAnchor>
  <xdr:oneCellAnchor>
    <xdr:from>
      <xdr:col>4</xdr:col>
      <xdr:colOff>490008</xdr:colOff>
      <xdr:row>0</xdr:row>
      <xdr:rowOff>65616</xdr:rowOff>
    </xdr:from>
    <xdr:ext cx="1416050" cy="365075"/>
    <xdr:pic>
      <xdr:nvPicPr>
        <xdr:cNvPr id="6" name="Picture 5">
          <a:extLst>
            <a:ext uri="{FF2B5EF4-FFF2-40B4-BE49-F238E27FC236}">
              <a16:creationId xmlns:a16="http://schemas.microsoft.com/office/drawing/2014/main" id="{218899F0-2419-4233-8669-665739B1E82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4681008" y="65616"/>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32808</xdr:colOff>
      <xdr:row>0</xdr:row>
      <xdr:rowOff>92606</xdr:rowOff>
    </xdr:from>
    <xdr:to>
      <xdr:col>1</xdr:col>
      <xdr:colOff>452485</xdr:colOff>
      <xdr:row>0</xdr:row>
      <xdr:rowOff>440532</xdr:rowOff>
    </xdr:to>
    <xdr:pic>
      <xdr:nvPicPr>
        <xdr:cNvPr id="5" name="Graphic 6">
          <a:extLst>
            <a:ext uri="{FF2B5EF4-FFF2-40B4-BE49-F238E27FC236}">
              <a16:creationId xmlns:a16="http://schemas.microsoft.com/office/drawing/2014/main" id="{D5988C2F-2018-4956-AA79-C2404D5AED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2808" y="92606"/>
          <a:ext cx="1169771" cy="347926"/>
        </a:xfrm>
        <a:prstGeom prst="rect">
          <a:avLst/>
        </a:prstGeom>
      </xdr:spPr>
    </xdr:pic>
    <xdr:clientData/>
  </xdr:twoCellAnchor>
  <xdr:twoCellAnchor editAs="oneCell">
    <xdr:from>
      <xdr:col>1</xdr:col>
      <xdr:colOff>2137834</xdr:colOff>
      <xdr:row>0</xdr:row>
      <xdr:rowOff>42333</xdr:rowOff>
    </xdr:from>
    <xdr:to>
      <xdr:col>3</xdr:col>
      <xdr:colOff>191087</xdr:colOff>
      <xdr:row>0</xdr:row>
      <xdr:rowOff>459581</xdr:rowOff>
    </xdr:to>
    <xdr:pic>
      <xdr:nvPicPr>
        <xdr:cNvPr id="6" name="officeArt object" descr="Picture 3">
          <a:extLst>
            <a:ext uri="{FF2B5EF4-FFF2-40B4-BE49-F238E27FC236}">
              <a16:creationId xmlns:a16="http://schemas.microsoft.com/office/drawing/2014/main" id="{B89DE62F-1A99-46E4-9314-1BA8ABD5D74B}"/>
            </a:ext>
          </a:extLst>
        </xdr:cNvPr>
        <xdr:cNvPicPr/>
      </xdr:nvPicPr>
      <xdr:blipFill>
        <a:blip xmlns:r="http://schemas.openxmlformats.org/officeDocument/2006/relationships" r:embed="rId3"/>
        <a:stretch>
          <a:fillRect/>
        </a:stretch>
      </xdr:blipFill>
      <xdr:spPr>
        <a:xfrm>
          <a:off x="2966509" y="42333"/>
          <a:ext cx="1101253" cy="414867"/>
        </a:xfrm>
        <a:prstGeom prst="rect">
          <a:avLst/>
        </a:prstGeom>
        <a:ln w="12700" cap="flat">
          <a:noFill/>
          <a:miter lim="400000"/>
        </a:ln>
        <a:effectLst/>
      </xdr:spPr>
    </xdr:pic>
    <xdr:clientData/>
  </xdr:twoCellAnchor>
  <xdr:oneCellAnchor>
    <xdr:from>
      <xdr:col>4</xdr:col>
      <xdr:colOff>472810</xdr:colOff>
      <xdr:row>0</xdr:row>
      <xdr:rowOff>27252</xdr:rowOff>
    </xdr:from>
    <xdr:ext cx="1416050" cy="365075"/>
    <xdr:pic>
      <xdr:nvPicPr>
        <xdr:cNvPr id="7" name="Picture 6">
          <a:extLst>
            <a:ext uri="{FF2B5EF4-FFF2-40B4-BE49-F238E27FC236}">
              <a16:creationId xmlns:a16="http://schemas.microsoft.com/office/drawing/2014/main" id="{BD7D3A8D-5EF4-486A-9A35-0763CAEC27F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4961466" y="27252"/>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7E04F-91E7-410F-9789-8E2B6EB6C4AF}">
  <dimension ref="A1:C17"/>
  <sheetViews>
    <sheetView tabSelected="1" view="pageBreakPreview" zoomScaleNormal="100" zoomScaleSheetLayoutView="100" workbookViewId="0">
      <selection activeCell="B15" sqref="B15:C15"/>
    </sheetView>
  </sheetViews>
  <sheetFormatPr defaultRowHeight="15" x14ac:dyDescent="0.25"/>
  <cols>
    <col min="1" max="1" width="12.42578125" customWidth="1"/>
    <col min="2" max="2" width="59.42578125" customWidth="1"/>
    <col min="3" max="3" width="29.42578125" customWidth="1"/>
  </cols>
  <sheetData>
    <row r="1" spans="1:3" ht="39" customHeight="1" thickBot="1" x14ac:dyDescent="0.3">
      <c r="A1" s="86"/>
      <c r="B1" s="86"/>
      <c r="C1" s="86"/>
    </row>
    <row r="2" spans="1:3" ht="25.5" thickBot="1" x14ac:dyDescent="0.55000000000000004">
      <c r="A2" s="87" t="s">
        <v>98</v>
      </c>
      <c r="B2" s="88"/>
      <c r="C2" s="89"/>
    </row>
    <row r="3" spans="1:3" ht="20.25" thickBot="1" x14ac:dyDescent="0.3">
      <c r="A3" s="90" t="s">
        <v>99</v>
      </c>
      <c r="B3" s="108" t="s">
        <v>106</v>
      </c>
      <c r="C3" s="109"/>
    </row>
    <row r="4" spans="1:3" ht="22.5" thickBot="1" x14ac:dyDescent="0.5">
      <c r="A4" s="91" t="s">
        <v>0</v>
      </c>
      <c r="B4" s="110" t="s">
        <v>1</v>
      </c>
      <c r="C4" s="111"/>
    </row>
    <row r="5" spans="1:3" ht="20.25" thickBot="1" x14ac:dyDescent="0.45">
      <c r="A5" s="92" t="s">
        <v>3</v>
      </c>
      <c r="B5" s="112" t="s">
        <v>107</v>
      </c>
      <c r="C5" s="113"/>
    </row>
    <row r="6" spans="1:3" ht="20.25" thickBot="1" x14ac:dyDescent="0.3">
      <c r="A6" s="93" t="s">
        <v>20</v>
      </c>
      <c r="B6" s="94" t="s">
        <v>100</v>
      </c>
      <c r="C6" s="95" t="s">
        <v>9</v>
      </c>
    </row>
    <row r="7" spans="1:3" ht="22.5" thickTop="1" x14ac:dyDescent="0.25">
      <c r="A7" s="96">
        <v>1</v>
      </c>
      <c r="B7" s="97" t="s">
        <v>108</v>
      </c>
      <c r="C7" s="98">
        <f>'Baidoa PS'!F41</f>
        <v>0</v>
      </c>
    </row>
    <row r="8" spans="1:3" ht="21.75" x14ac:dyDescent="0.25">
      <c r="A8" s="96">
        <v>2</v>
      </c>
      <c r="B8" s="97" t="s">
        <v>109</v>
      </c>
      <c r="C8" s="98">
        <f>'Arafat PS'!F71</f>
        <v>0</v>
      </c>
    </row>
    <row r="9" spans="1:3" ht="21.75" x14ac:dyDescent="0.25">
      <c r="A9" s="96">
        <v>3</v>
      </c>
      <c r="B9" s="99" t="s">
        <v>110</v>
      </c>
      <c r="C9" s="98">
        <f>'Mustaqbal PS'!F46</f>
        <v>0</v>
      </c>
    </row>
    <row r="10" spans="1:3" ht="22.5" thickBot="1" x14ac:dyDescent="0.3">
      <c r="A10" s="100"/>
      <c r="B10" s="101"/>
      <c r="C10" s="102"/>
    </row>
    <row r="11" spans="1:3" ht="20.25" thickBot="1" x14ac:dyDescent="0.3">
      <c r="A11" s="114" t="s">
        <v>101</v>
      </c>
      <c r="B11" s="115"/>
      <c r="C11" s="103">
        <f>SUM(C7:C10)</f>
        <v>0</v>
      </c>
    </row>
    <row r="12" spans="1:3" x14ac:dyDescent="0.25">
      <c r="A12" s="104"/>
      <c r="B12" s="104"/>
      <c r="C12" s="104"/>
    </row>
    <row r="13" spans="1:3" x14ac:dyDescent="0.25">
      <c r="A13" s="104"/>
      <c r="B13" s="104"/>
      <c r="C13" s="104"/>
    </row>
    <row r="14" spans="1:3" x14ac:dyDescent="0.25">
      <c r="A14" s="105" t="s">
        <v>102</v>
      </c>
      <c r="B14" s="107"/>
      <c r="C14" s="107"/>
    </row>
    <row r="15" spans="1:3" x14ac:dyDescent="0.25">
      <c r="A15" s="105" t="s">
        <v>103</v>
      </c>
      <c r="B15" s="107"/>
      <c r="C15" s="107"/>
    </row>
    <row r="16" spans="1:3" x14ac:dyDescent="0.25">
      <c r="A16" s="105" t="s">
        <v>104</v>
      </c>
      <c r="B16" s="107"/>
      <c r="C16" s="107"/>
    </row>
    <row r="17" spans="1:3" x14ac:dyDescent="0.25">
      <c r="A17" s="105" t="s">
        <v>105</v>
      </c>
      <c r="B17" s="107"/>
      <c r="C17" s="107"/>
    </row>
  </sheetData>
  <mergeCells count="8">
    <mergeCell ref="B16:C16"/>
    <mergeCell ref="B17:C17"/>
    <mergeCell ref="B3:C3"/>
    <mergeCell ref="B4:C4"/>
    <mergeCell ref="B5:C5"/>
    <mergeCell ref="A11:B11"/>
    <mergeCell ref="B14:C14"/>
    <mergeCell ref="B15:C1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9A0E8-C653-4D11-B7AB-E861646ECB67}">
  <dimension ref="A1:H48"/>
  <sheetViews>
    <sheetView view="pageBreakPreview" topLeftCell="A33" zoomScale="90" zoomScaleNormal="100" zoomScaleSheetLayoutView="90" workbookViewId="0">
      <selection activeCell="E33" sqref="E33"/>
    </sheetView>
  </sheetViews>
  <sheetFormatPr defaultRowHeight="15" x14ac:dyDescent="0.25"/>
  <cols>
    <col min="1" max="1" width="11.28515625" customWidth="1"/>
    <col min="2" max="2" width="39.140625" customWidth="1"/>
    <col min="3" max="3" width="6.5703125" customWidth="1"/>
    <col min="4" max="4" width="10.28515625" customWidth="1"/>
    <col min="5" max="5" width="11.42578125" customWidth="1"/>
    <col min="6" max="6" width="16.140625" customWidth="1"/>
    <col min="7" max="8" width="10" bestFit="1" customWidth="1"/>
  </cols>
  <sheetData>
    <row r="1" spans="1:8" ht="39.75" customHeight="1" x14ac:dyDescent="0.25">
      <c r="A1" s="86"/>
      <c r="B1" s="86"/>
      <c r="C1" s="86"/>
      <c r="D1" s="86"/>
      <c r="E1" s="86"/>
      <c r="F1" s="86"/>
    </row>
    <row r="2" spans="1:8" ht="30.75" customHeight="1" x14ac:dyDescent="0.4">
      <c r="A2" s="39" t="s">
        <v>0</v>
      </c>
      <c r="B2" s="139" t="s">
        <v>1</v>
      </c>
      <c r="C2" s="139"/>
      <c r="D2" s="139"/>
      <c r="E2" s="139"/>
      <c r="F2" s="139"/>
    </row>
    <row r="3" spans="1:8" ht="20.25" thickBot="1" x14ac:dyDescent="0.45">
      <c r="A3" s="1" t="s">
        <v>2</v>
      </c>
      <c r="B3" s="140" t="s">
        <v>41</v>
      </c>
      <c r="C3" s="141"/>
      <c r="D3" s="141"/>
      <c r="E3" s="141"/>
      <c r="F3" s="142"/>
    </row>
    <row r="4" spans="1:8" ht="20.25" thickBot="1" x14ac:dyDescent="0.45">
      <c r="A4" s="2" t="s">
        <v>3</v>
      </c>
      <c r="B4" s="143" t="s">
        <v>42</v>
      </c>
      <c r="C4" s="144"/>
      <c r="D4" s="144"/>
      <c r="E4" s="144"/>
      <c r="F4" s="145"/>
    </row>
    <row r="5" spans="1:8" ht="18" thickTop="1" x14ac:dyDescent="0.25">
      <c r="A5" s="3" t="s">
        <v>4</v>
      </c>
      <c r="B5" s="4" t="s">
        <v>5</v>
      </c>
      <c r="C5" s="5" t="s">
        <v>6</v>
      </c>
      <c r="D5" s="5" t="s">
        <v>7</v>
      </c>
      <c r="E5" s="5" t="s">
        <v>8</v>
      </c>
      <c r="F5" s="6" t="s">
        <v>9</v>
      </c>
    </row>
    <row r="6" spans="1:8" ht="19.5" x14ac:dyDescent="0.25">
      <c r="A6" s="7" t="s">
        <v>10</v>
      </c>
      <c r="B6" s="8" t="s">
        <v>43</v>
      </c>
      <c r="C6" s="9"/>
      <c r="D6" s="9"/>
      <c r="E6" s="9"/>
      <c r="F6" s="10"/>
    </row>
    <row r="7" spans="1:8" x14ac:dyDescent="0.25">
      <c r="A7" s="146" t="s">
        <v>44</v>
      </c>
      <c r="B7" s="147"/>
      <c r="C7" s="147"/>
      <c r="D7" s="147"/>
      <c r="E7" s="147"/>
      <c r="F7" s="148"/>
    </row>
    <row r="8" spans="1:8" ht="195" x14ac:dyDescent="0.25">
      <c r="A8" s="11">
        <v>1</v>
      </c>
      <c r="B8" s="12" t="s">
        <v>11</v>
      </c>
      <c r="C8" s="13" t="s">
        <v>12</v>
      </c>
      <c r="D8" s="13">
        <f>9*(8.5*9)*1.5</f>
        <v>1032.75</v>
      </c>
      <c r="E8" s="13"/>
      <c r="F8" s="14">
        <f t="shared" ref="F8:F10" si="0">D8*E8</f>
        <v>0</v>
      </c>
    </row>
    <row r="9" spans="1:8" ht="60" x14ac:dyDescent="0.25">
      <c r="A9" s="15">
        <v>2</v>
      </c>
      <c r="B9" s="12" t="s">
        <v>13</v>
      </c>
      <c r="C9" s="13" t="s">
        <v>12</v>
      </c>
      <c r="D9" s="13">
        <f>9*(8.5*9)</f>
        <v>688.5</v>
      </c>
      <c r="E9" s="13"/>
      <c r="F9" s="14">
        <f t="shared" si="0"/>
        <v>0</v>
      </c>
    </row>
    <row r="10" spans="1:8" ht="120" x14ac:dyDescent="0.25">
      <c r="A10" s="11">
        <v>3</v>
      </c>
      <c r="B10" s="12" t="s">
        <v>14</v>
      </c>
      <c r="C10" s="16" t="s">
        <v>15</v>
      </c>
      <c r="D10" s="16">
        <f>8.5*9*9*0.08</f>
        <v>55.08</v>
      </c>
      <c r="E10" s="16"/>
      <c r="F10" s="17">
        <f t="shared" si="0"/>
        <v>0</v>
      </c>
    </row>
    <row r="11" spans="1:8" ht="47.25" x14ac:dyDescent="0.25">
      <c r="A11" s="15">
        <v>4</v>
      </c>
      <c r="B11" s="18" t="s">
        <v>16</v>
      </c>
      <c r="C11" s="19" t="s">
        <v>12</v>
      </c>
      <c r="D11" s="19">
        <f>(9*(8.5*2+7*2)*1.7)*3.4</f>
        <v>1612.62</v>
      </c>
      <c r="E11" s="19"/>
      <c r="F11" s="14">
        <f>D11*E11</f>
        <v>0</v>
      </c>
    </row>
    <row r="12" spans="1:8" ht="165" x14ac:dyDescent="0.25">
      <c r="A12" s="11">
        <v>5</v>
      </c>
      <c r="B12" s="20" t="s">
        <v>17</v>
      </c>
      <c r="C12" s="13" t="s">
        <v>18</v>
      </c>
      <c r="D12" s="13">
        <f>9*5</f>
        <v>45</v>
      </c>
      <c r="E12" s="13"/>
      <c r="F12" s="14">
        <f>D12*E12</f>
        <v>0</v>
      </c>
    </row>
    <row r="13" spans="1:8" ht="120" x14ac:dyDescent="0.25">
      <c r="A13" s="15">
        <v>6</v>
      </c>
      <c r="B13" s="20" t="s">
        <v>19</v>
      </c>
      <c r="C13" s="13" t="s">
        <v>20</v>
      </c>
      <c r="D13" s="13">
        <v>9</v>
      </c>
      <c r="E13" s="13"/>
      <c r="F13" s="14">
        <f>D13*E13</f>
        <v>0</v>
      </c>
    </row>
    <row r="14" spans="1:8" ht="45" x14ac:dyDescent="0.25">
      <c r="A14" s="11">
        <v>7</v>
      </c>
      <c r="B14" s="20" t="s">
        <v>21</v>
      </c>
      <c r="C14" s="13" t="s">
        <v>22</v>
      </c>
      <c r="D14" s="13">
        <v>1</v>
      </c>
      <c r="E14" s="13"/>
      <c r="F14" s="14">
        <f t="shared" ref="F14:F16" si="1">D14*E14</f>
        <v>0</v>
      </c>
    </row>
    <row r="15" spans="1:8" ht="75" x14ac:dyDescent="0.25">
      <c r="A15" s="15">
        <v>8</v>
      </c>
      <c r="B15" s="21" t="s">
        <v>23</v>
      </c>
      <c r="C15" s="13" t="s">
        <v>18</v>
      </c>
      <c r="D15" s="13">
        <v>1</v>
      </c>
      <c r="E15" s="13"/>
      <c r="F15" s="14">
        <f t="shared" si="1"/>
        <v>0</v>
      </c>
    </row>
    <row r="16" spans="1:8" ht="30" x14ac:dyDescent="0.25">
      <c r="A16" s="15">
        <v>8</v>
      </c>
      <c r="B16" s="21" t="s">
        <v>24</v>
      </c>
      <c r="C16" s="13" t="s">
        <v>18</v>
      </c>
      <c r="D16" s="13">
        <v>9</v>
      </c>
      <c r="E16" s="13"/>
      <c r="F16" s="14">
        <f t="shared" si="1"/>
        <v>0</v>
      </c>
      <c r="H16" s="40"/>
    </row>
    <row r="17" spans="1:7" ht="15.75" x14ac:dyDescent="0.25">
      <c r="A17" s="22"/>
      <c r="B17" s="149" t="s">
        <v>46</v>
      </c>
      <c r="C17" s="150"/>
      <c r="D17" s="150"/>
      <c r="E17" s="151"/>
      <c r="F17" s="23">
        <f>SUM(F7:F16)</f>
        <v>0</v>
      </c>
    </row>
    <row r="18" spans="1:7" x14ac:dyDescent="0.25">
      <c r="A18" s="15"/>
      <c r="B18" s="20"/>
      <c r="C18" s="13"/>
      <c r="D18" s="13"/>
      <c r="E18" s="13"/>
      <c r="F18" s="14"/>
    </row>
    <row r="19" spans="1:7" x14ac:dyDescent="0.25">
      <c r="A19" s="24" t="s">
        <v>25</v>
      </c>
      <c r="B19" s="25" t="s">
        <v>45</v>
      </c>
      <c r="C19" s="26"/>
      <c r="D19" s="26"/>
      <c r="E19" s="26"/>
      <c r="F19" s="27"/>
    </row>
    <row r="20" spans="1:7" ht="30" x14ac:dyDescent="0.25">
      <c r="A20" s="11">
        <v>1</v>
      </c>
      <c r="B20" s="12" t="s">
        <v>27</v>
      </c>
      <c r="C20" s="16" t="s">
        <v>12</v>
      </c>
      <c r="D20" s="16">
        <f>(15*2+2*4)*2.7</f>
        <v>102.60000000000001</v>
      </c>
      <c r="E20" s="16"/>
      <c r="F20" s="14">
        <f t="shared" ref="F20:F25" si="2">D20*E20</f>
        <v>0</v>
      </c>
    </row>
    <row r="21" spans="1:7" ht="30" x14ac:dyDescent="0.25">
      <c r="A21" s="15">
        <v>2</v>
      </c>
      <c r="B21" s="12" t="s">
        <v>28</v>
      </c>
      <c r="C21" s="28" t="s">
        <v>12</v>
      </c>
      <c r="D21" s="28">
        <f>15*(4*2+2*2)*2.7</f>
        <v>486.00000000000006</v>
      </c>
      <c r="E21" s="28"/>
      <c r="F21" s="14">
        <f t="shared" si="2"/>
        <v>0</v>
      </c>
    </row>
    <row r="22" spans="1:7" ht="45" x14ac:dyDescent="0.25">
      <c r="A22" s="11">
        <v>3</v>
      </c>
      <c r="B22" s="12" t="s">
        <v>29</v>
      </c>
      <c r="C22" s="13" t="s">
        <v>12</v>
      </c>
      <c r="D22" s="13">
        <f>15*3*2</f>
        <v>90</v>
      </c>
      <c r="E22" s="13"/>
      <c r="F22" s="14">
        <f t="shared" si="2"/>
        <v>0</v>
      </c>
    </row>
    <row r="23" spans="1:7" ht="45" x14ac:dyDescent="0.25">
      <c r="A23" s="15">
        <v>4</v>
      </c>
      <c r="B23" s="12" t="s">
        <v>30</v>
      </c>
      <c r="C23" s="13" t="s">
        <v>12</v>
      </c>
      <c r="D23" s="13">
        <f>(15*6*2)*1.5</f>
        <v>270</v>
      </c>
      <c r="E23" s="13"/>
      <c r="F23" s="14">
        <f t="shared" si="2"/>
        <v>0</v>
      </c>
    </row>
    <row r="24" spans="1:7" ht="45" x14ac:dyDescent="0.25">
      <c r="A24" s="11">
        <v>5</v>
      </c>
      <c r="B24" s="12" t="s">
        <v>31</v>
      </c>
      <c r="C24" s="13" t="s">
        <v>20</v>
      </c>
      <c r="D24" s="29">
        <v>15</v>
      </c>
      <c r="E24" s="13"/>
      <c r="F24" s="14">
        <f t="shared" si="2"/>
        <v>0</v>
      </c>
    </row>
    <row r="25" spans="1:7" ht="30" x14ac:dyDescent="0.25">
      <c r="A25" s="15">
        <v>6</v>
      </c>
      <c r="B25" s="12" t="s">
        <v>32</v>
      </c>
      <c r="C25" s="13" t="s">
        <v>20</v>
      </c>
      <c r="D25" s="29">
        <v>15</v>
      </c>
      <c r="E25" s="13"/>
      <c r="F25" s="14">
        <f t="shared" si="2"/>
        <v>0</v>
      </c>
    </row>
    <row r="26" spans="1:7" ht="45" x14ac:dyDescent="0.25">
      <c r="A26" s="11">
        <v>7</v>
      </c>
      <c r="B26" s="12" t="s">
        <v>33</v>
      </c>
      <c r="C26" s="13" t="s">
        <v>20</v>
      </c>
      <c r="D26" s="13">
        <v>15</v>
      </c>
      <c r="E26" s="13"/>
      <c r="F26" s="14">
        <f>D26*E26</f>
        <v>0</v>
      </c>
    </row>
    <row r="27" spans="1:7" ht="45" x14ac:dyDescent="0.25">
      <c r="A27" s="15">
        <v>8</v>
      </c>
      <c r="B27" s="12" t="s">
        <v>34</v>
      </c>
      <c r="C27" s="13" t="s">
        <v>20</v>
      </c>
      <c r="D27" s="13">
        <v>15</v>
      </c>
      <c r="E27" s="13"/>
      <c r="F27" s="14">
        <f>D27*E27</f>
        <v>0</v>
      </c>
    </row>
    <row r="28" spans="1:7" ht="45" x14ac:dyDescent="0.25">
      <c r="A28" s="30">
        <v>9</v>
      </c>
      <c r="B28" s="31" t="s">
        <v>35</v>
      </c>
      <c r="C28" s="29" t="s">
        <v>12</v>
      </c>
      <c r="D28" s="13">
        <f>15*(2*2)*1.5</f>
        <v>90</v>
      </c>
      <c r="E28" s="13"/>
      <c r="F28" s="14">
        <f>D28*E28</f>
        <v>0</v>
      </c>
    </row>
    <row r="29" spans="1:7" ht="60" x14ac:dyDescent="0.25">
      <c r="A29" s="32">
        <v>10</v>
      </c>
      <c r="B29" s="33" t="s">
        <v>36</v>
      </c>
      <c r="C29" s="29" t="s">
        <v>37</v>
      </c>
      <c r="D29" s="16">
        <v>1</v>
      </c>
      <c r="E29" s="13"/>
      <c r="F29" s="14">
        <f>E29*D29</f>
        <v>0</v>
      </c>
    </row>
    <row r="30" spans="1:7" ht="105" x14ac:dyDescent="0.25">
      <c r="A30" s="13">
        <v>11</v>
      </c>
      <c r="B30" s="12" t="s">
        <v>47</v>
      </c>
      <c r="C30" s="29" t="s">
        <v>37</v>
      </c>
      <c r="D30" s="34">
        <v>1</v>
      </c>
      <c r="E30" s="35"/>
      <c r="F30" s="36">
        <f t="shared" ref="F30" si="3">D30*E30</f>
        <v>0</v>
      </c>
      <c r="G30" s="40"/>
    </row>
    <row r="31" spans="1:7" x14ac:dyDescent="0.25">
      <c r="A31" s="37"/>
      <c r="B31" s="131" t="s">
        <v>60</v>
      </c>
      <c r="C31" s="132"/>
      <c r="D31" s="132"/>
      <c r="E31" s="133"/>
      <c r="F31" s="38">
        <f>SUM(F20:F30)</f>
        <v>0</v>
      </c>
    </row>
    <row r="32" spans="1:7" x14ac:dyDescent="0.25">
      <c r="A32" s="24" t="s">
        <v>48</v>
      </c>
      <c r="B32" s="41" t="s">
        <v>49</v>
      </c>
      <c r="C32" s="42"/>
      <c r="D32" s="43"/>
      <c r="E32" s="44"/>
      <c r="F32" s="45"/>
    </row>
    <row r="33" spans="1:6" ht="75" x14ac:dyDescent="0.25">
      <c r="A33" s="11">
        <v>1</v>
      </c>
      <c r="B33" s="46" t="s">
        <v>50</v>
      </c>
      <c r="C33" s="47" t="s">
        <v>51</v>
      </c>
      <c r="D33" s="48">
        <v>1</v>
      </c>
      <c r="E33" s="34"/>
      <c r="F33" s="36">
        <f t="shared" ref="F33" si="4">D33*E33</f>
        <v>0</v>
      </c>
    </row>
    <row r="34" spans="1:6" x14ac:dyDescent="0.25">
      <c r="A34" s="37"/>
      <c r="B34" s="131" t="s">
        <v>52</v>
      </c>
      <c r="C34" s="132"/>
      <c r="D34" s="132"/>
      <c r="E34" s="133"/>
      <c r="F34" s="49">
        <f>SUM(F33)</f>
        <v>0</v>
      </c>
    </row>
    <row r="35" spans="1:6" x14ac:dyDescent="0.25">
      <c r="A35" s="50"/>
      <c r="B35" s="134" t="s">
        <v>53</v>
      </c>
      <c r="C35" s="134"/>
      <c r="D35" s="134"/>
      <c r="E35" s="134"/>
      <c r="F35" s="51"/>
    </row>
    <row r="36" spans="1:6" ht="15.75" x14ac:dyDescent="0.25">
      <c r="A36" s="52" t="s">
        <v>10</v>
      </c>
      <c r="B36" s="135" t="str">
        <f>B17</f>
        <v>Subtotal for 9 classrooms rehab</v>
      </c>
      <c r="C36" s="136"/>
      <c r="D36" s="136"/>
      <c r="E36" s="137"/>
      <c r="F36" s="53">
        <f>F17</f>
        <v>0</v>
      </c>
    </row>
    <row r="37" spans="1:6" ht="15.75" x14ac:dyDescent="0.25">
      <c r="A37" s="52" t="s">
        <v>25</v>
      </c>
      <c r="B37" s="138" t="str">
        <f>B31</f>
        <v>Subtotal for 15 Wash facilities rehab</v>
      </c>
      <c r="C37" s="136"/>
      <c r="D37" s="136"/>
      <c r="E37" s="137"/>
      <c r="F37" s="53">
        <f>F31</f>
        <v>0</v>
      </c>
    </row>
    <row r="38" spans="1:6" ht="15.75" x14ac:dyDescent="0.25">
      <c r="A38" s="52" t="s">
        <v>54</v>
      </c>
      <c r="B38" s="135" t="str">
        <f>B34</f>
        <v xml:space="preserve">Subtotal for visibility </v>
      </c>
      <c r="C38" s="136"/>
      <c r="D38" s="136"/>
      <c r="E38" s="137"/>
      <c r="F38" s="53">
        <f>F34</f>
        <v>0</v>
      </c>
    </row>
    <row r="39" spans="1:6" ht="15.75" x14ac:dyDescent="0.25">
      <c r="A39" s="52" t="s">
        <v>48</v>
      </c>
      <c r="B39" s="135"/>
      <c r="C39" s="136"/>
      <c r="D39" s="136"/>
      <c r="E39" s="137"/>
      <c r="F39" s="53"/>
    </row>
    <row r="40" spans="1:6" x14ac:dyDescent="0.25">
      <c r="A40" s="52"/>
      <c r="B40" s="116"/>
      <c r="C40" s="117"/>
      <c r="D40" s="117"/>
      <c r="E40" s="118"/>
      <c r="F40" s="54"/>
    </row>
    <row r="41" spans="1:6" ht="16.5" thickBot="1" x14ac:dyDescent="0.3">
      <c r="A41" s="55"/>
      <c r="B41" s="119" t="s">
        <v>55</v>
      </c>
      <c r="C41" s="120"/>
      <c r="D41" s="120"/>
      <c r="E41" s="121"/>
      <c r="F41" s="56">
        <f>F39+F38+F37+F36</f>
        <v>0</v>
      </c>
    </row>
    <row r="42" spans="1:6" ht="15.75" thickBot="1" x14ac:dyDescent="0.3">
      <c r="A42" s="57"/>
      <c r="B42" s="58"/>
      <c r="C42" s="59"/>
      <c r="D42" s="59"/>
      <c r="E42" s="59"/>
      <c r="F42" s="60"/>
    </row>
    <row r="43" spans="1:6" x14ac:dyDescent="0.25">
      <c r="A43" s="61"/>
      <c r="B43" s="62" t="s">
        <v>56</v>
      </c>
      <c r="C43" s="122"/>
      <c r="D43" s="123"/>
      <c r="E43" s="123"/>
      <c r="F43" s="124"/>
    </row>
    <row r="44" spans="1:6" x14ac:dyDescent="0.25">
      <c r="A44" s="61"/>
      <c r="B44" s="62" t="s">
        <v>57</v>
      </c>
      <c r="C44" s="125"/>
      <c r="D44" s="126"/>
      <c r="E44" s="126"/>
      <c r="F44" s="127"/>
    </row>
    <row r="45" spans="1:6" x14ac:dyDescent="0.25">
      <c r="A45" s="61"/>
      <c r="B45" s="62" t="s">
        <v>58</v>
      </c>
      <c r="C45" s="125"/>
      <c r="D45" s="126"/>
      <c r="E45" s="126"/>
      <c r="F45" s="127"/>
    </row>
    <row r="46" spans="1:6" ht="15.75" thickBot="1" x14ac:dyDescent="0.3">
      <c r="A46" s="61"/>
      <c r="B46" s="62" t="s">
        <v>59</v>
      </c>
      <c r="C46" s="128"/>
      <c r="D46" s="129"/>
      <c r="E46" s="129"/>
      <c r="F46" s="130"/>
    </row>
    <row r="47" spans="1:6" x14ac:dyDescent="0.25">
      <c r="A47" s="57"/>
      <c r="B47" s="58"/>
      <c r="C47" s="59"/>
      <c r="D47" s="59"/>
      <c r="E47" s="59"/>
      <c r="F47" s="60"/>
    </row>
    <row r="48" spans="1:6" x14ac:dyDescent="0.25">
      <c r="A48" s="57"/>
      <c r="B48" s="58"/>
      <c r="C48" s="59"/>
      <c r="D48" s="59"/>
      <c r="E48" s="59"/>
      <c r="F48" s="60"/>
    </row>
  </sheetData>
  <mergeCells count="17">
    <mergeCell ref="B39:E39"/>
    <mergeCell ref="B2:F2"/>
    <mergeCell ref="B3:F3"/>
    <mergeCell ref="B4:F4"/>
    <mergeCell ref="A7:F7"/>
    <mergeCell ref="B17:E17"/>
    <mergeCell ref="B31:E31"/>
    <mergeCell ref="B34:E34"/>
    <mergeCell ref="B35:E35"/>
    <mergeCell ref="B36:E36"/>
    <mergeCell ref="B37:E37"/>
    <mergeCell ref="B38:E38"/>
    <mergeCell ref="B40:E40"/>
    <mergeCell ref="B41:E41"/>
    <mergeCell ref="C43:F43"/>
    <mergeCell ref="C44:F44"/>
    <mergeCell ref="C45:F4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D1453-0A07-4CF0-9591-DC0A17D93EEA}">
  <dimension ref="A1:G77"/>
  <sheetViews>
    <sheetView view="pageBreakPreview" topLeftCell="A59" zoomScale="90" zoomScaleNormal="100" zoomScaleSheetLayoutView="90" workbookViewId="0">
      <selection activeCell="E62" sqref="E62"/>
    </sheetView>
  </sheetViews>
  <sheetFormatPr defaultRowHeight="15" x14ac:dyDescent="0.25"/>
  <cols>
    <col min="1" max="1" width="11.28515625" customWidth="1"/>
    <col min="2" max="2" width="34.7109375" customWidth="1"/>
    <col min="3" max="3" width="6.5703125" customWidth="1"/>
    <col min="4" max="4" width="10.28515625" customWidth="1"/>
    <col min="5" max="5" width="11.42578125" customWidth="1"/>
    <col min="6" max="6" width="16.140625" customWidth="1"/>
    <col min="7" max="7" width="11.140625" bestFit="1" customWidth="1"/>
  </cols>
  <sheetData>
    <row r="1" spans="1:6" ht="36.75" customHeight="1" thickBot="1" x14ac:dyDescent="0.3">
      <c r="A1" s="86"/>
      <c r="B1" s="86"/>
      <c r="C1" s="86"/>
      <c r="D1" s="86"/>
      <c r="E1" s="86"/>
      <c r="F1" s="86"/>
    </row>
    <row r="2" spans="1:6" ht="16.5" thickBot="1" x14ac:dyDescent="0.3">
      <c r="A2" s="106" t="s">
        <v>0</v>
      </c>
      <c r="B2" s="152" t="s">
        <v>1</v>
      </c>
      <c r="C2" s="152"/>
      <c r="D2" s="152"/>
      <c r="E2" s="152"/>
      <c r="F2" s="153"/>
    </row>
    <row r="3" spans="1:6" ht="16.5" thickBot="1" x14ac:dyDescent="0.3">
      <c r="A3" s="82" t="s">
        <v>2</v>
      </c>
      <c r="B3" s="154" t="s">
        <v>89</v>
      </c>
      <c r="C3" s="152"/>
      <c r="D3" s="152"/>
      <c r="E3" s="152"/>
      <c r="F3" s="153"/>
    </row>
    <row r="4" spans="1:6" ht="16.5" thickBot="1" x14ac:dyDescent="0.3">
      <c r="A4" s="83" t="s">
        <v>3</v>
      </c>
      <c r="B4" s="154" t="s">
        <v>90</v>
      </c>
      <c r="C4" s="152"/>
      <c r="D4" s="152"/>
      <c r="E4" s="152"/>
      <c r="F4" s="153"/>
    </row>
    <row r="5" spans="1:6" x14ac:dyDescent="0.25">
      <c r="A5" s="24" t="s">
        <v>10</v>
      </c>
      <c r="B5" s="25" t="s">
        <v>61</v>
      </c>
      <c r="C5" s="26"/>
      <c r="D5" s="26"/>
      <c r="E5" s="63"/>
      <c r="F5" s="45"/>
    </row>
    <row r="6" spans="1:6" x14ac:dyDescent="0.25">
      <c r="A6" s="146" t="s">
        <v>62</v>
      </c>
      <c r="B6" s="147"/>
      <c r="C6" s="147"/>
      <c r="D6" s="147"/>
      <c r="E6" s="147"/>
      <c r="F6" s="148"/>
    </row>
    <row r="7" spans="1:6" ht="30" x14ac:dyDescent="0.25">
      <c r="A7" s="11">
        <v>1</v>
      </c>
      <c r="B7" s="12" t="s">
        <v>63</v>
      </c>
      <c r="C7" s="15" t="s">
        <v>12</v>
      </c>
      <c r="D7" s="64">
        <f>3*(10*9)</f>
        <v>270</v>
      </c>
      <c r="E7" s="65"/>
      <c r="F7" s="36">
        <f t="shared" ref="F7:F32" si="0">D7*E7</f>
        <v>0</v>
      </c>
    </row>
    <row r="8" spans="1:6" ht="60" x14ac:dyDescent="0.25">
      <c r="A8" s="11">
        <v>2</v>
      </c>
      <c r="B8" s="12" t="s">
        <v>64</v>
      </c>
      <c r="C8" s="15" t="s">
        <v>39</v>
      </c>
      <c r="D8" s="64">
        <f>(3*8.2*3+9*5)*0.5*0.7</f>
        <v>41.58</v>
      </c>
      <c r="E8" s="65"/>
      <c r="F8" s="36">
        <f t="shared" si="0"/>
        <v>0</v>
      </c>
    </row>
    <row r="9" spans="1:6" ht="45" x14ac:dyDescent="0.25">
      <c r="A9" s="11">
        <v>3</v>
      </c>
      <c r="B9" s="12" t="s">
        <v>65</v>
      </c>
      <c r="C9" s="15" t="s">
        <v>12</v>
      </c>
      <c r="D9" s="64">
        <f>(3*8.2*3+9*5)*0.05</f>
        <v>5.94</v>
      </c>
      <c r="E9" s="65"/>
      <c r="F9" s="36">
        <f t="shared" si="0"/>
        <v>0</v>
      </c>
    </row>
    <row r="10" spans="1:6" ht="45" x14ac:dyDescent="0.25">
      <c r="A10" s="11">
        <v>4</v>
      </c>
      <c r="B10" s="12" t="s">
        <v>66</v>
      </c>
      <c r="C10" s="15" t="s">
        <v>15</v>
      </c>
      <c r="D10" s="64">
        <f>(3*8.2*3+9*5)*0.9*0.4</f>
        <v>42.768000000000001</v>
      </c>
      <c r="E10" s="65"/>
      <c r="F10" s="36">
        <f t="shared" si="0"/>
        <v>0</v>
      </c>
    </row>
    <row r="11" spans="1:6" ht="105" x14ac:dyDescent="0.25">
      <c r="A11" s="11">
        <v>5</v>
      </c>
      <c r="B11" s="12" t="s">
        <v>67</v>
      </c>
      <c r="C11" s="16" t="s">
        <v>15</v>
      </c>
      <c r="D11" s="64">
        <f>(3*8.2*3+9*5)*0.2*0.4</f>
        <v>9.5040000000000013</v>
      </c>
      <c r="E11" s="34"/>
      <c r="F11" s="36">
        <f t="shared" si="0"/>
        <v>0</v>
      </c>
    </row>
    <row r="12" spans="1:6" ht="90" x14ac:dyDescent="0.25">
      <c r="A12" s="11">
        <v>6</v>
      </c>
      <c r="B12" s="12" t="s">
        <v>68</v>
      </c>
      <c r="C12" s="16" t="s">
        <v>15</v>
      </c>
      <c r="D12" s="66">
        <f>(7*2+4)*(0.7*0.7*0.3)</f>
        <v>2.6459999999999995</v>
      </c>
      <c r="E12" s="34"/>
      <c r="F12" s="36">
        <f t="shared" si="0"/>
        <v>0</v>
      </c>
    </row>
    <row r="13" spans="1:6" ht="90" x14ac:dyDescent="0.25">
      <c r="A13" s="11">
        <v>7</v>
      </c>
      <c r="B13" s="12" t="s">
        <v>69</v>
      </c>
      <c r="C13" s="28" t="s">
        <v>15</v>
      </c>
      <c r="D13" s="66">
        <f>(8*2+7)*(1*0.2*0.2)</f>
        <v>0.92000000000000015</v>
      </c>
      <c r="E13" s="67"/>
      <c r="F13" s="36">
        <f t="shared" si="0"/>
        <v>0</v>
      </c>
    </row>
    <row r="14" spans="1:6" ht="30" x14ac:dyDescent="0.25">
      <c r="A14" s="11">
        <v>8</v>
      </c>
      <c r="B14" s="12" t="s">
        <v>70</v>
      </c>
      <c r="C14" s="11" t="s">
        <v>15</v>
      </c>
      <c r="D14" s="68">
        <f>3*8*9*0.2</f>
        <v>43.2</v>
      </c>
      <c r="E14" s="65"/>
      <c r="F14" s="36">
        <f t="shared" si="0"/>
        <v>0</v>
      </c>
    </row>
    <row r="15" spans="1:6" x14ac:dyDescent="0.25">
      <c r="A15" s="11">
        <v>9</v>
      </c>
      <c r="B15" s="12" t="s">
        <v>71</v>
      </c>
      <c r="C15" s="11" t="s">
        <v>12</v>
      </c>
      <c r="D15" s="68">
        <f>3*8*9</f>
        <v>216</v>
      </c>
      <c r="E15" s="65"/>
      <c r="F15" s="36">
        <f t="shared" si="0"/>
        <v>0</v>
      </c>
    </row>
    <row r="16" spans="1:6" ht="45" x14ac:dyDescent="0.25">
      <c r="A16" s="11">
        <v>10</v>
      </c>
      <c r="B16" s="12" t="s">
        <v>72</v>
      </c>
      <c r="C16" s="13" t="s">
        <v>12</v>
      </c>
      <c r="D16" s="69">
        <f>D15</f>
        <v>216</v>
      </c>
      <c r="E16" s="34"/>
      <c r="F16" s="36">
        <f t="shared" si="0"/>
        <v>0</v>
      </c>
    </row>
    <row r="17" spans="1:6" ht="120" x14ac:dyDescent="0.25">
      <c r="A17" s="11">
        <v>11</v>
      </c>
      <c r="B17" s="12" t="s">
        <v>73</v>
      </c>
      <c r="C17" s="28" t="s">
        <v>15</v>
      </c>
      <c r="D17" s="68">
        <f>3*8*9*0.08</f>
        <v>17.28</v>
      </c>
      <c r="E17" s="65"/>
      <c r="F17" s="36">
        <f t="shared" si="0"/>
        <v>0</v>
      </c>
    </row>
    <row r="18" spans="1:6" ht="45" x14ac:dyDescent="0.25">
      <c r="A18" s="11">
        <v>12</v>
      </c>
      <c r="B18" s="12" t="s">
        <v>74</v>
      </c>
      <c r="C18" s="13" t="s">
        <v>12</v>
      </c>
      <c r="D18" s="64">
        <f>(3*8*2+5*7)*3.4</f>
        <v>282.2</v>
      </c>
      <c r="E18" s="65"/>
      <c r="F18" s="36">
        <f t="shared" si="0"/>
        <v>0</v>
      </c>
    </row>
    <row r="19" spans="1:6" ht="105" x14ac:dyDescent="0.25">
      <c r="A19" s="11">
        <v>13</v>
      </c>
      <c r="B19" s="12" t="s">
        <v>75</v>
      </c>
      <c r="C19" s="28" t="s">
        <v>15</v>
      </c>
      <c r="D19" s="64">
        <f>(3*8*1.75)*0.2*0.15</f>
        <v>1.26</v>
      </c>
      <c r="E19" s="67"/>
      <c r="F19" s="36">
        <f>D19*E19</f>
        <v>0</v>
      </c>
    </row>
    <row r="20" spans="1:6" ht="90" x14ac:dyDescent="0.25">
      <c r="A20" s="11">
        <v>14</v>
      </c>
      <c r="B20" s="12" t="s">
        <v>76</v>
      </c>
      <c r="C20" s="28" t="s">
        <v>15</v>
      </c>
      <c r="D20" s="64">
        <f>(3*8.2*2+9*5)*0.2*0.2</f>
        <v>3.7680000000000002</v>
      </c>
      <c r="E20" s="67"/>
      <c r="F20" s="36">
        <f>D20*E20</f>
        <v>0</v>
      </c>
    </row>
    <row r="21" spans="1:6" ht="90" x14ac:dyDescent="0.25">
      <c r="A21" s="11">
        <v>15</v>
      </c>
      <c r="B21" s="12" t="s">
        <v>77</v>
      </c>
      <c r="C21" s="11" t="s">
        <v>15</v>
      </c>
      <c r="D21" s="64">
        <f>(3*8.4*2+9*5)*0.2*0.3</f>
        <v>5.7240000000000002</v>
      </c>
      <c r="E21" s="65"/>
      <c r="F21" s="36">
        <f t="shared" si="0"/>
        <v>0</v>
      </c>
    </row>
    <row r="22" spans="1:6" ht="165" x14ac:dyDescent="0.25">
      <c r="A22" s="11">
        <v>16</v>
      </c>
      <c r="B22" s="12" t="s">
        <v>78</v>
      </c>
      <c r="C22" s="11" t="s">
        <v>15</v>
      </c>
      <c r="D22" s="70">
        <f>(0.2*0.2*3.8)*15</f>
        <v>2.2800000000000002</v>
      </c>
      <c r="E22" s="65"/>
      <c r="F22" s="36">
        <f t="shared" si="0"/>
        <v>0</v>
      </c>
    </row>
    <row r="23" spans="1:6" ht="120" x14ac:dyDescent="0.25">
      <c r="A23" s="11">
        <v>16</v>
      </c>
      <c r="B23" s="12" t="s">
        <v>79</v>
      </c>
      <c r="C23" s="11" t="s">
        <v>12</v>
      </c>
      <c r="D23" s="11">
        <f>(8.2*9.2*1.5)*3</f>
        <v>339.4799999999999</v>
      </c>
      <c r="E23" s="65"/>
      <c r="F23" s="36">
        <f t="shared" si="0"/>
        <v>0</v>
      </c>
    </row>
    <row r="24" spans="1:6" ht="60" x14ac:dyDescent="0.25">
      <c r="A24" s="11">
        <v>17</v>
      </c>
      <c r="B24" s="12" t="s">
        <v>80</v>
      </c>
      <c r="C24" s="11" t="s">
        <v>12</v>
      </c>
      <c r="D24" s="68">
        <f>(8*9)*3</f>
        <v>216</v>
      </c>
      <c r="E24" s="65"/>
      <c r="F24" s="36">
        <f t="shared" si="0"/>
        <v>0</v>
      </c>
    </row>
    <row r="25" spans="1:6" ht="75" x14ac:dyDescent="0.25">
      <c r="A25" s="11">
        <v>18</v>
      </c>
      <c r="B25" s="12" t="s">
        <v>81</v>
      </c>
      <c r="C25" s="16" t="s">
        <v>22</v>
      </c>
      <c r="D25" s="16">
        <v>1</v>
      </c>
      <c r="E25" s="34"/>
      <c r="F25" s="36">
        <f t="shared" si="0"/>
        <v>0</v>
      </c>
    </row>
    <row r="26" spans="1:6" ht="45" x14ac:dyDescent="0.25">
      <c r="A26" s="11">
        <v>19</v>
      </c>
      <c r="B26" s="71" t="s">
        <v>82</v>
      </c>
      <c r="C26" s="72" t="s">
        <v>12</v>
      </c>
      <c r="D26" s="64">
        <f>(3*8*2+4*7*2)*3.4</f>
        <v>353.59999999999997</v>
      </c>
      <c r="E26" s="73"/>
      <c r="F26" s="36">
        <f t="shared" si="0"/>
        <v>0</v>
      </c>
    </row>
    <row r="27" spans="1:6" ht="45" x14ac:dyDescent="0.25">
      <c r="A27" s="11">
        <v>20</v>
      </c>
      <c r="B27" s="71" t="s">
        <v>83</v>
      </c>
      <c r="C27" s="72" t="s">
        <v>12</v>
      </c>
      <c r="D27" s="64">
        <f>(3*8.3*2.2+7.4*2.3)*4</f>
        <v>287.20000000000005</v>
      </c>
      <c r="E27" s="73"/>
      <c r="F27" s="36">
        <f>D27*E27</f>
        <v>0</v>
      </c>
    </row>
    <row r="28" spans="1:6" ht="45" x14ac:dyDescent="0.25">
      <c r="A28" s="11">
        <v>21</v>
      </c>
      <c r="B28" s="71" t="s">
        <v>84</v>
      </c>
      <c r="C28" s="72" t="s">
        <v>12</v>
      </c>
      <c r="D28" s="16">
        <f>D26</f>
        <v>353.59999999999997</v>
      </c>
      <c r="E28" s="73"/>
      <c r="F28" s="36">
        <f t="shared" si="0"/>
        <v>0</v>
      </c>
    </row>
    <row r="29" spans="1:6" ht="45" x14ac:dyDescent="0.25">
      <c r="A29" s="11">
        <v>22</v>
      </c>
      <c r="B29" s="71" t="s">
        <v>85</v>
      </c>
      <c r="C29" s="11" t="s">
        <v>12</v>
      </c>
      <c r="D29" s="72">
        <f>D27</f>
        <v>287.20000000000005</v>
      </c>
      <c r="E29" s="73"/>
      <c r="F29" s="36">
        <f t="shared" si="0"/>
        <v>0</v>
      </c>
    </row>
    <row r="30" spans="1:6" ht="120" x14ac:dyDescent="0.25">
      <c r="A30" s="11">
        <v>23</v>
      </c>
      <c r="B30" s="74" t="s">
        <v>86</v>
      </c>
      <c r="C30" s="75" t="s">
        <v>20</v>
      </c>
      <c r="D30" s="28">
        <v>3</v>
      </c>
      <c r="E30" s="67"/>
      <c r="F30" s="36">
        <f>E30*D30</f>
        <v>0</v>
      </c>
    </row>
    <row r="31" spans="1:6" ht="180" x14ac:dyDescent="0.25">
      <c r="A31" s="11">
        <v>24</v>
      </c>
      <c r="B31" s="20" t="s">
        <v>87</v>
      </c>
      <c r="C31" s="75" t="s">
        <v>20</v>
      </c>
      <c r="D31" s="11">
        <f>3*5</f>
        <v>15</v>
      </c>
      <c r="E31" s="65"/>
      <c r="F31" s="36">
        <f t="shared" si="0"/>
        <v>0</v>
      </c>
    </row>
    <row r="32" spans="1:6" ht="75" x14ac:dyDescent="0.25">
      <c r="A32" s="11">
        <v>25</v>
      </c>
      <c r="B32" s="21" t="s">
        <v>23</v>
      </c>
      <c r="C32" s="76" t="s">
        <v>20</v>
      </c>
      <c r="D32" s="75">
        <v>2</v>
      </c>
      <c r="E32" s="77"/>
      <c r="F32" s="36">
        <f t="shared" si="0"/>
        <v>0</v>
      </c>
    </row>
    <row r="33" spans="1:7" ht="30" x14ac:dyDescent="0.25">
      <c r="A33" s="11">
        <v>26</v>
      </c>
      <c r="B33" s="21" t="s">
        <v>24</v>
      </c>
      <c r="C33" s="13" t="s">
        <v>18</v>
      </c>
      <c r="D33" s="13">
        <v>3</v>
      </c>
      <c r="E33" s="13"/>
      <c r="F33" s="36">
        <f>D33*E33</f>
        <v>0</v>
      </c>
    </row>
    <row r="34" spans="1:7" x14ac:dyDescent="0.25">
      <c r="A34" s="37"/>
      <c r="B34" s="131" t="s">
        <v>88</v>
      </c>
      <c r="C34" s="132"/>
      <c r="D34" s="132"/>
      <c r="E34" s="133"/>
      <c r="F34" s="38">
        <f>SUM(F7:F33)+F6</f>
        <v>0</v>
      </c>
      <c r="G34" s="40"/>
    </row>
    <row r="35" spans="1:7" ht="19.5" x14ac:dyDescent="0.25">
      <c r="A35" s="7" t="s">
        <v>25</v>
      </c>
      <c r="B35" s="8" t="s">
        <v>91</v>
      </c>
      <c r="C35" s="9"/>
      <c r="D35" s="9"/>
      <c r="E35" s="9"/>
      <c r="F35" s="10"/>
    </row>
    <row r="36" spans="1:7" x14ac:dyDescent="0.25">
      <c r="A36" s="146" t="s">
        <v>92</v>
      </c>
      <c r="B36" s="147"/>
      <c r="C36" s="147"/>
      <c r="D36" s="147"/>
      <c r="E36" s="147"/>
      <c r="F36" s="148"/>
    </row>
    <row r="37" spans="1:7" ht="210" x14ac:dyDescent="0.25">
      <c r="A37" s="11">
        <v>1</v>
      </c>
      <c r="B37" s="12" t="s">
        <v>11</v>
      </c>
      <c r="C37" s="13" t="s">
        <v>12</v>
      </c>
      <c r="D37" s="13">
        <f>7*(8.5*9)*1.5</f>
        <v>803.25</v>
      </c>
      <c r="E37" s="13"/>
      <c r="F37" s="14">
        <f t="shared" ref="F37:F39" si="1">D37*E37</f>
        <v>0</v>
      </c>
    </row>
    <row r="38" spans="1:7" ht="60" x14ac:dyDescent="0.25">
      <c r="A38" s="15">
        <v>2</v>
      </c>
      <c r="B38" s="12" t="s">
        <v>13</v>
      </c>
      <c r="C38" s="13" t="s">
        <v>12</v>
      </c>
      <c r="D38" s="13">
        <f>7*(8.5*9)</f>
        <v>535.5</v>
      </c>
      <c r="E38" s="13"/>
      <c r="F38" s="14">
        <f t="shared" si="1"/>
        <v>0</v>
      </c>
    </row>
    <row r="39" spans="1:7" ht="135" x14ac:dyDescent="0.25">
      <c r="A39" s="11">
        <v>3</v>
      </c>
      <c r="B39" s="12" t="s">
        <v>14</v>
      </c>
      <c r="C39" s="16" t="s">
        <v>15</v>
      </c>
      <c r="D39" s="16">
        <f>8.5*9*7*0.08</f>
        <v>42.84</v>
      </c>
      <c r="E39" s="16"/>
      <c r="F39" s="17">
        <f t="shared" si="1"/>
        <v>0</v>
      </c>
    </row>
    <row r="40" spans="1:7" ht="63" x14ac:dyDescent="0.25">
      <c r="A40" s="15">
        <v>4</v>
      </c>
      <c r="B40" s="18" t="s">
        <v>16</v>
      </c>
      <c r="C40" s="19" t="s">
        <v>12</v>
      </c>
      <c r="D40" s="19">
        <f>(7*(8.5*2+7*2)*1.7)*3.4</f>
        <v>1254.26</v>
      </c>
      <c r="E40" s="19"/>
      <c r="F40" s="14">
        <f>D40*E40</f>
        <v>0</v>
      </c>
    </row>
    <row r="41" spans="1:7" ht="180" x14ac:dyDescent="0.25">
      <c r="A41" s="11">
        <v>5</v>
      </c>
      <c r="B41" s="20" t="s">
        <v>17</v>
      </c>
      <c r="C41" s="13" t="s">
        <v>18</v>
      </c>
      <c r="D41" s="13">
        <f>7*5</f>
        <v>35</v>
      </c>
      <c r="E41" s="13"/>
      <c r="F41" s="14">
        <f>D41*E41</f>
        <v>0</v>
      </c>
    </row>
    <row r="42" spans="1:7" ht="135" x14ac:dyDescent="0.25">
      <c r="A42" s="15">
        <v>6</v>
      </c>
      <c r="B42" s="20" t="s">
        <v>19</v>
      </c>
      <c r="C42" s="13" t="s">
        <v>20</v>
      </c>
      <c r="D42" s="13">
        <v>7</v>
      </c>
      <c r="E42" s="13"/>
      <c r="F42" s="14">
        <f>D42*E42</f>
        <v>0</v>
      </c>
    </row>
    <row r="43" spans="1:7" ht="60" x14ac:dyDescent="0.25">
      <c r="A43" s="11">
        <v>7</v>
      </c>
      <c r="B43" s="20" t="s">
        <v>21</v>
      </c>
      <c r="C43" s="13" t="s">
        <v>22</v>
      </c>
      <c r="D43" s="13">
        <v>1</v>
      </c>
      <c r="E43" s="13"/>
      <c r="F43" s="14">
        <f t="shared" ref="F43:F45" si="2">D43*E43</f>
        <v>0</v>
      </c>
    </row>
    <row r="44" spans="1:7" ht="75" x14ac:dyDescent="0.25">
      <c r="A44" s="15">
        <v>8</v>
      </c>
      <c r="B44" s="21" t="s">
        <v>23</v>
      </c>
      <c r="C44" s="13" t="s">
        <v>18</v>
      </c>
      <c r="D44" s="13">
        <v>1</v>
      </c>
      <c r="E44" s="13"/>
      <c r="F44" s="14">
        <f t="shared" si="2"/>
        <v>0</v>
      </c>
    </row>
    <row r="45" spans="1:7" ht="30" x14ac:dyDescent="0.25">
      <c r="A45" s="15">
        <v>8</v>
      </c>
      <c r="B45" s="21" t="s">
        <v>24</v>
      </c>
      <c r="C45" s="13" t="s">
        <v>18</v>
      </c>
      <c r="D45" s="13">
        <v>7</v>
      </c>
      <c r="E45" s="13"/>
      <c r="F45" s="14">
        <f t="shared" si="2"/>
        <v>0</v>
      </c>
      <c r="G45" s="40"/>
    </row>
    <row r="46" spans="1:7" ht="15.75" x14ac:dyDescent="0.25">
      <c r="A46" s="22"/>
      <c r="B46" s="149" t="s">
        <v>93</v>
      </c>
      <c r="C46" s="150"/>
      <c r="D46" s="150"/>
      <c r="E46" s="151"/>
      <c r="F46" s="23">
        <f>SUM(F36:F45)</f>
        <v>0</v>
      </c>
      <c r="G46" s="40"/>
    </row>
    <row r="47" spans="1:7" x14ac:dyDescent="0.25">
      <c r="A47" s="15"/>
      <c r="B47" s="20"/>
      <c r="C47" s="13"/>
      <c r="D47" s="13"/>
      <c r="E47" s="13"/>
      <c r="F47" s="14"/>
    </row>
    <row r="48" spans="1:7" x14ac:dyDescent="0.25">
      <c r="A48" s="24" t="s">
        <v>54</v>
      </c>
      <c r="B48" s="25" t="s">
        <v>26</v>
      </c>
      <c r="C48" s="26"/>
      <c r="D48" s="26"/>
      <c r="E48" s="26"/>
      <c r="F48" s="27"/>
    </row>
    <row r="49" spans="1:6" ht="30" x14ac:dyDescent="0.25">
      <c r="A49" s="11">
        <v>1</v>
      </c>
      <c r="B49" s="12" t="s">
        <v>27</v>
      </c>
      <c r="C49" s="16" t="s">
        <v>12</v>
      </c>
      <c r="D49" s="16">
        <f>(8*2+2*4)*2.7</f>
        <v>64.800000000000011</v>
      </c>
      <c r="E49" s="16"/>
      <c r="F49" s="14">
        <f t="shared" ref="F49:F54" si="3">D49*E49</f>
        <v>0</v>
      </c>
    </row>
    <row r="50" spans="1:6" ht="45" x14ac:dyDescent="0.25">
      <c r="A50" s="15">
        <v>2</v>
      </c>
      <c r="B50" s="12" t="s">
        <v>28</v>
      </c>
      <c r="C50" s="28" t="s">
        <v>12</v>
      </c>
      <c r="D50" s="28">
        <f>8*(4*2+2*2)*2.7</f>
        <v>259.20000000000005</v>
      </c>
      <c r="E50" s="28"/>
      <c r="F50" s="14">
        <f t="shared" si="3"/>
        <v>0</v>
      </c>
    </row>
    <row r="51" spans="1:6" ht="45" x14ac:dyDescent="0.25">
      <c r="A51" s="11">
        <v>3</v>
      </c>
      <c r="B51" s="12" t="s">
        <v>29</v>
      </c>
      <c r="C51" s="13" t="s">
        <v>12</v>
      </c>
      <c r="D51" s="13">
        <f>6*3*2</f>
        <v>36</v>
      </c>
      <c r="E51" s="13"/>
      <c r="F51" s="14">
        <f t="shared" si="3"/>
        <v>0</v>
      </c>
    </row>
    <row r="52" spans="1:6" ht="45" x14ac:dyDescent="0.25">
      <c r="A52" s="15">
        <v>4</v>
      </c>
      <c r="B52" s="12" t="s">
        <v>30</v>
      </c>
      <c r="C52" s="13" t="s">
        <v>12</v>
      </c>
      <c r="D52" s="13">
        <f>(4*6*2)*1.5</f>
        <v>72</v>
      </c>
      <c r="E52" s="13"/>
      <c r="F52" s="14">
        <f t="shared" si="3"/>
        <v>0</v>
      </c>
    </row>
    <row r="53" spans="1:6" ht="45" x14ac:dyDescent="0.25">
      <c r="A53" s="11">
        <v>5</v>
      </c>
      <c r="B53" s="12" t="s">
        <v>31</v>
      </c>
      <c r="C53" s="13" t="s">
        <v>20</v>
      </c>
      <c r="D53" s="29">
        <v>6</v>
      </c>
      <c r="E53" s="13"/>
      <c r="F53" s="14">
        <f t="shared" si="3"/>
        <v>0</v>
      </c>
    </row>
    <row r="54" spans="1:6" ht="45" x14ac:dyDescent="0.25">
      <c r="A54" s="15">
        <v>6</v>
      </c>
      <c r="B54" s="12" t="s">
        <v>32</v>
      </c>
      <c r="C54" s="13" t="s">
        <v>20</v>
      </c>
      <c r="D54" s="29">
        <v>6</v>
      </c>
      <c r="E54" s="13"/>
      <c r="F54" s="14">
        <f t="shared" si="3"/>
        <v>0</v>
      </c>
    </row>
    <row r="55" spans="1:6" ht="45" x14ac:dyDescent="0.25">
      <c r="A55" s="11">
        <v>7</v>
      </c>
      <c r="B55" s="12" t="s">
        <v>33</v>
      </c>
      <c r="C55" s="13" t="s">
        <v>20</v>
      </c>
      <c r="D55" s="13">
        <v>6</v>
      </c>
      <c r="E55" s="13"/>
      <c r="F55" s="14">
        <f>D55*E55</f>
        <v>0</v>
      </c>
    </row>
    <row r="56" spans="1:6" ht="45" x14ac:dyDescent="0.25">
      <c r="A56" s="15">
        <v>8</v>
      </c>
      <c r="B56" s="12" t="s">
        <v>34</v>
      </c>
      <c r="C56" s="13" t="s">
        <v>20</v>
      </c>
      <c r="D56" s="13">
        <v>6</v>
      </c>
      <c r="E56" s="13"/>
      <c r="F56" s="14">
        <f>D56*E56</f>
        <v>0</v>
      </c>
    </row>
    <row r="57" spans="1:6" ht="45" x14ac:dyDescent="0.25">
      <c r="A57" s="30">
        <v>9</v>
      </c>
      <c r="B57" s="31" t="s">
        <v>35</v>
      </c>
      <c r="C57" s="29" t="s">
        <v>12</v>
      </c>
      <c r="D57" s="13">
        <f>6*(2*2)*1.5</f>
        <v>36</v>
      </c>
      <c r="E57" s="13"/>
      <c r="F57" s="14">
        <f>D57*E57</f>
        <v>0</v>
      </c>
    </row>
    <row r="58" spans="1:6" ht="60" x14ac:dyDescent="0.25">
      <c r="A58" s="32">
        <v>10</v>
      </c>
      <c r="B58" s="33" t="s">
        <v>36</v>
      </c>
      <c r="C58" s="29" t="s">
        <v>37</v>
      </c>
      <c r="D58" s="16">
        <v>1</v>
      </c>
      <c r="E58" s="13"/>
      <c r="F58" s="14">
        <f>E58*D58</f>
        <v>0</v>
      </c>
    </row>
    <row r="59" spans="1:6" ht="45" x14ac:dyDescent="0.25">
      <c r="A59" s="13">
        <v>11</v>
      </c>
      <c r="B59" s="12" t="s">
        <v>38</v>
      </c>
      <c r="C59" s="13" t="s">
        <v>39</v>
      </c>
      <c r="D59" s="34">
        <f>10*0.15*5</f>
        <v>7.5</v>
      </c>
      <c r="E59" s="35"/>
      <c r="F59" s="36">
        <f t="shared" ref="F59" si="4">D59*E59</f>
        <v>0</v>
      </c>
    </row>
    <row r="60" spans="1:6" x14ac:dyDescent="0.25">
      <c r="A60" s="37"/>
      <c r="B60" s="131" t="s">
        <v>40</v>
      </c>
      <c r="C60" s="132"/>
      <c r="D60" s="132"/>
      <c r="E60" s="133"/>
      <c r="F60" s="38">
        <f>SUM(F49:F59)</f>
        <v>0</v>
      </c>
    </row>
    <row r="61" spans="1:6" x14ac:dyDescent="0.25">
      <c r="A61" s="24" t="s">
        <v>48</v>
      </c>
      <c r="B61" s="41" t="s">
        <v>49</v>
      </c>
      <c r="C61" s="42"/>
      <c r="D61" s="43"/>
      <c r="E61" s="44"/>
      <c r="F61" s="45"/>
    </row>
    <row r="62" spans="1:6" ht="90" x14ac:dyDescent="0.25">
      <c r="A62" s="11">
        <v>1</v>
      </c>
      <c r="B62" s="46" t="s">
        <v>50</v>
      </c>
      <c r="C62" s="47" t="s">
        <v>51</v>
      </c>
      <c r="D62" s="48">
        <v>1</v>
      </c>
      <c r="E62" s="34"/>
      <c r="F62" s="36">
        <f t="shared" ref="F62" si="5">D62*E62</f>
        <v>0</v>
      </c>
    </row>
    <row r="63" spans="1:6" x14ac:dyDescent="0.25">
      <c r="A63" s="37"/>
      <c r="B63" s="131" t="s">
        <v>52</v>
      </c>
      <c r="C63" s="132"/>
      <c r="D63" s="132"/>
      <c r="E63" s="133"/>
      <c r="F63" s="49">
        <f>SUM(F62)</f>
        <v>0</v>
      </c>
    </row>
    <row r="64" spans="1:6" x14ac:dyDescent="0.25">
      <c r="A64" s="52"/>
      <c r="B64" s="78"/>
      <c r="C64" s="79"/>
      <c r="D64" s="79"/>
      <c r="E64" s="80"/>
      <c r="F64" s="81"/>
    </row>
    <row r="65" spans="1:6" x14ac:dyDescent="0.25">
      <c r="A65" s="50"/>
      <c r="B65" s="134" t="s">
        <v>53</v>
      </c>
      <c r="C65" s="134"/>
      <c r="D65" s="134"/>
      <c r="E65" s="134"/>
      <c r="F65" s="84"/>
    </row>
    <row r="66" spans="1:6" ht="15.75" customHeight="1" x14ac:dyDescent="0.25">
      <c r="A66" s="85" t="s">
        <v>10</v>
      </c>
      <c r="B66" s="155" t="str">
        <f>B34</f>
        <v>Subtotal for 3 new classrooms</v>
      </c>
      <c r="C66" s="156"/>
      <c r="D66" s="156"/>
      <c r="E66" s="157"/>
      <c r="F66" s="53">
        <f>F34</f>
        <v>0</v>
      </c>
    </row>
    <row r="67" spans="1:6" ht="15.75" customHeight="1" x14ac:dyDescent="0.25">
      <c r="A67" s="85" t="s">
        <v>25</v>
      </c>
      <c r="B67" s="158" t="str">
        <f>B46</f>
        <v>Subtotal for 7 classrooms rehab</v>
      </c>
      <c r="C67" s="159"/>
      <c r="D67" s="159"/>
      <c r="E67" s="160"/>
      <c r="F67" s="53">
        <f>F46</f>
        <v>0</v>
      </c>
    </row>
    <row r="68" spans="1:6" ht="15.75" customHeight="1" x14ac:dyDescent="0.25">
      <c r="A68" s="85" t="s">
        <v>54</v>
      </c>
      <c r="B68" s="158" t="str">
        <f>B60</f>
        <v>Subtotal for 6 Wash facilities rehab</v>
      </c>
      <c r="C68" s="156"/>
      <c r="D68" s="156"/>
      <c r="E68" s="157"/>
      <c r="F68" s="53">
        <f>F60</f>
        <v>0</v>
      </c>
    </row>
    <row r="69" spans="1:6" ht="15.75" customHeight="1" x14ac:dyDescent="0.25">
      <c r="A69" s="52" t="s">
        <v>48</v>
      </c>
      <c r="B69" s="135" t="str">
        <f>B63</f>
        <v xml:space="preserve">Subtotal for visibility </v>
      </c>
      <c r="C69" s="136"/>
      <c r="D69" s="136"/>
      <c r="E69" s="137"/>
      <c r="F69" s="53">
        <f>F63</f>
        <v>0</v>
      </c>
    </row>
    <row r="70" spans="1:6" ht="15.75" x14ac:dyDescent="0.25">
      <c r="A70" s="52"/>
      <c r="B70" s="116"/>
      <c r="C70" s="117"/>
      <c r="D70" s="117"/>
      <c r="E70" s="118"/>
      <c r="F70" s="53"/>
    </row>
    <row r="71" spans="1:6" ht="16.5" thickBot="1" x14ac:dyDescent="0.3">
      <c r="A71" s="55"/>
      <c r="B71" s="119" t="s">
        <v>55</v>
      </c>
      <c r="C71" s="120"/>
      <c r="D71" s="120"/>
      <c r="E71" s="121"/>
      <c r="F71" s="56">
        <f>F69+F68+F67+F66</f>
        <v>0</v>
      </c>
    </row>
    <row r="72" spans="1:6" ht="15.75" thickBot="1" x14ac:dyDescent="0.3">
      <c r="A72" s="57"/>
      <c r="B72" s="58"/>
      <c r="C72" s="59"/>
      <c r="D72" s="59"/>
      <c r="E72" s="59"/>
      <c r="F72" s="60"/>
    </row>
    <row r="73" spans="1:6" x14ac:dyDescent="0.25">
      <c r="A73" s="61"/>
      <c r="B73" s="62" t="s">
        <v>56</v>
      </c>
      <c r="C73" s="122"/>
      <c r="D73" s="123"/>
      <c r="E73" s="123"/>
      <c r="F73" s="124"/>
    </row>
    <row r="74" spans="1:6" x14ac:dyDescent="0.25">
      <c r="A74" s="61"/>
      <c r="B74" s="62" t="s">
        <v>57</v>
      </c>
      <c r="C74" s="125"/>
      <c r="D74" s="126"/>
      <c r="E74" s="126"/>
      <c r="F74" s="127"/>
    </row>
    <row r="75" spans="1:6" x14ac:dyDescent="0.25">
      <c r="A75" s="61"/>
      <c r="B75" s="62" t="s">
        <v>58</v>
      </c>
      <c r="C75" s="125"/>
      <c r="D75" s="126"/>
      <c r="E75" s="126"/>
      <c r="F75" s="127"/>
    </row>
    <row r="76" spans="1:6" ht="15.75" thickBot="1" x14ac:dyDescent="0.3">
      <c r="A76" s="61"/>
      <c r="B76" s="62" t="s">
        <v>59</v>
      </c>
      <c r="C76" s="128"/>
      <c r="D76" s="129"/>
      <c r="E76" s="129"/>
      <c r="F76" s="130"/>
    </row>
    <row r="77" spans="1:6" x14ac:dyDescent="0.25">
      <c r="A77" s="57"/>
      <c r="B77" s="58"/>
      <c r="C77" s="59"/>
      <c r="D77" s="59"/>
      <c r="E77" s="59"/>
      <c r="F77" s="60"/>
    </row>
  </sheetData>
  <mergeCells count="19">
    <mergeCell ref="B71:E71"/>
    <mergeCell ref="A6:F6"/>
    <mergeCell ref="B34:E34"/>
    <mergeCell ref="C73:F73"/>
    <mergeCell ref="C74:F74"/>
    <mergeCell ref="C75:F76"/>
    <mergeCell ref="B63:E63"/>
    <mergeCell ref="B2:F2"/>
    <mergeCell ref="B3:F3"/>
    <mergeCell ref="B4:F4"/>
    <mergeCell ref="A36:F36"/>
    <mergeCell ref="B46:E46"/>
    <mergeCell ref="B60:E60"/>
    <mergeCell ref="B65:E65"/>
    <mergeCell ref="B66:E66"/>
    <mergeCell ref="B67:E67"/>
    <mergeCell ref="B68:E68"/>
    <mergeCell ref="B69:E69"/>
    <mergeCell ref="B70:E7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FB5DA-128E-4164-8090-648D940C0549}">
  <dimension ref="A1:F52"/>
  <sheetViews>
    <sheetView view="pageBreakPreview" topLeftCell="A37" zoomScale="80" zoomScaleNormal="100" zoomScaleSheetLayoutView="80" workbookViewId="0">
      <selection activeCell="G54" sqref="G54"/>
    </sheetView>
  </sheetViews>
  <sheetFormatPr defaultRowHeight="15" x14ac:dyDescent="0.25"/>
  <cols>
    <col min="1" max="1" width="11.28515625" customWidth="1"/>
    <col min="2" max="2" width="39.140625" customWidth="1"/>
    <col min="3" max="3" width="6.5703125" customWidth="1"/>
    <col min="4" max="4" width="10.28515625" customWidth="1"/>
    <col min="5" max="5" width="11.42578125" customWidth="1"/>
    <col min="6" max="6" width="16.140625" customWidth="1"/>
  </cols>
  <sheetData>
    <row r="1" spans="1:6" ht="39" customHeight="1" thickBot="1" x14ac:dyDescent="0.3">
      <c r="A1" s="86"/>
      <c r="B1" s="86"/>
      <c r="C1" s="86"/>
      <c r="D1" s="86"/>
      <c r="E1" s="86"/>
      <c r="F1" s="86"/>
    </row>
    <row r="2" spans="1:6" ht="24.75" customHeight="1" thickBot="1" x14ac:dyDescent="0.45">
      <c r="A2" s="39" t="s">
        <v>0</v>
      </c>
      <c r="B2" s="144" t="s">
        <v>1</v>
      </c>
      <c r="C2" s="144"/>
      <c r="D2" s="144"/>
      <c r="E2" s="144"/>
      <c r="F2" s="145"/>
    </row>
    <row r="3" spans="1:6" ht="20.25" thickBot="1" x14ac:dyDescent="0.45">
      <c r="A3" s="1" t="s">
        <v>2</v>
      </c>
      <c r="B3" s="143" t="s">
        <v>96</v>
      </c>
      <c r="C3" s="144"/>
      <c r="D3" s="144"/>
      <c r="E3" s="144"/>
      <c r="F3" s="145"/>
    </row>
    <row r="4" spans="1:6" ht="20.25" thickBot="1" x14ac:dyDescent="0.45">
      <c r="A4" s="2" t="s">
        <v>3</v>
      </c>
      <c r="B4" s="143" t="s">
        <v>97</v>
      </c>
      <c r="C4" s="144"/>
      <c r="D4" s="144"/>
      <c r="E4" s="144"/>
      <c r="F4" s="145"/>
    </row>
    <row r="5" spans="1:6" ht="18" thickTop="1" x14ac:dyDescent="0.25">
      <c r="A5" s="3" t="s">
        <v>4</v>
      </c>
      <c r="B5" s="4" t="s">
        <v>5</v>
      </c>
      <c r="C5" s="5" t="s">
        <v>6</v>
      </c>
      <c r="D5" s="5" t="s">
        <v>7</v>
      </c>
      <c r="E5" s="5" t="s">
        <v>8</v>
      </c>
      <c r="F5" s="6" t="s">
        <v>9</v>
      </c>
    </row>
    <row r="6" spans="1:6" x14ac:dyDescent="0.25">
      <c r="A6" s="24" t="s">
        <v>10</v>
      </c>
      <c r="B6" s="25" t="s">
        <v>94</v>
      </c>
      <c r="C6" s="26"/>
      <c r="D6" s="26"/>
      <c r="E6" s="63"/>
      <c r="F6" s="45"/>
    </row>
    <row r="7" spans="1:6" ht="30" x14ac:dyDescent="0.25">
      <c r="A7" s="11">
        <v>1</v>
      </c>
      <c r="B7" s="12" t="s">
        <v>63</v>
      </c>
      <c r="C7" s="15" t="s">
        <v>12</v>
      </c>
      <c r="D7" s="64">
        <f>4*(10*9)</f>
        <v>360</v>
      </c>
      <c r="E7" s="65"/>
      <c r="F7" s="36">
        <f t="shared" ref="F7:F32" si="0">D7*E7</f>
        <v>0</v>
      </c>
    </row>
    <row r="8" spans="1:6" ht="60" x14ac:dyDescent="0.25">
      <c r="A8" s="11">
        <v>2</v>
      </c>
      <c r="B8" s="12" t="s">
        <v>64</v>
      </c>
      <c r="C8" s="15" t="s">
        <v>39</v>
      </c>
      <c r="D8" s="64">
        <f>(4*8.2*3+9*5)*0.5*0.7</f>
        <v>50.189999999999991</v>
      </c>
      <c r="E8" s="65"/>
      <c r="F8" s="36">
        <f t="shared" si="0"/>
        <v>0</v>
      </c>
    </row>
    <row r="9" spans="1:6" ht="30" x14ac:dyDescent="0.25">
      <c r="A9" s="11">
        <v>3</v>
      </c>
      <c r="B9" s="12" t="s">
        <v>65</v>
      </c>
      <c r="C9" s="15" t="s">
        <v>12</v>
      </c>
      <c r="D9" s="64">
        <f>(4*8.2*3+9*5)*0.05</f>
        <v>7.169999999999999</v>
      </c>
      <c r="E9" s="65"/>
      <c r="F9" s="36">
        <f t="shared" si="0"/>
        <v>0</v>
      </c>
    </row>
    <row r="10" spans="1:6" ht="45" x14ac:dyDescent="0.25">
      <c r="A10" s="11">
        <v>4</v>
      </c>
      <c r="B10" s="12" t="s">
        <v>66</v>
      </c>
      <c r="C10" s="15" t="s">
        <v>15</v>
      </c>
      <c r="D10" s="64">
        <f>(4*8.2*3+9*5)*0.9*0.4</f>
        <v>51.623999999999995</v>
      </c>
      <c r="E10" s="65"/>
      <c r="F10" s="36">
        <f t="shared" si="0"/>
        <v>0</v>
      </c>
    </row>
    <row r="11" spans="1:6" ht="90" x14ac:dyDescent="0.25">
      <c r="A11" s="11">
        <v>5</v>
      </c>
      <c r="B11" s="12" t="s">
        <v>67</v>
      </c>
      <c r="C11" s="16" t="s">
        <v>15</v>
      </c>
      <c r="D11" s="64">
        <f>(4*8.2*3+9*5)*0.2*0.4</f>
        <v>11.472</v>
      </c>
      <c r="E11" s="34"/>
      <c r="F11" s="36">
        <f t="shared" si="0"/>
        <v>0</v>
      </c>
    </row>
    <row r="12" spans="1:6" ht="75" x14ac:dyDescent="0.25">
      <c r="A12" s="11">
        <v>6</v>
      </c>
      <c r="B12" s="12" t="s">
        <v>68</v>
      </c>
      <c r="C12" s="16" t="s">
        <v>15</v>
      </c>
      <c r="D12" s="66">
        <f>(7*2+7)*(0.7*0.7*0.3)</f>
        <v>3.0869999999999993</v>
      </c>
      <c r="E12" s="34"/>
      <c r="F12" s="36">
        <f t="shared" si="0"/>
        <v>0</v>
      </c>
    </row>
    <row r="13" spans="1:6" ht="90" x14ac:dyDescent="0.25">
      <c r="A13" s="11">
        <v>7</v>
      </c>
      <c r="B13" s="12" t="s">
        <v>69</v>
      </c>
      <c r="C13" s="28" t="s">
        <v>15</v>
      </c>
      <c r="D13" s="66">
        <f>(8*2+9)*(1*0.2*0.2)</f>
        <v>1.0000000000000002</v>
      </c>
      <c r="E13" s="67"/>
      <c r="F13" s="36">
        <f t="shared" si="0"/>
        <v>0</v>
      </c>
    </row>
    <row r="14" spans="1:6" ht="30" x14ac:dyDescent="0.25">
      <c r="A14" s="11">
        <v>8</v>
      </c>
      <c r="B14" s="12" t="s">
        <v>70</v>
      </c>
      <c r="C14" s="11" t="s">
        <v>15</v>
      </c>
      <c r="D14" s="68">
        <f>4*8*9*0.2</f>
        <v>57.6</v>
      </c>
      <c r="E14" s="65"/>
      <c r="F14" s="36">
        <f t="shared" si="0"/>
        <v>0</v>
      </c>
    </row>
    <row r="15" spans="1:6" x14ac:dyDescent="0.25">
      <c r="A15" s="11">
        <v>9</v>
      </c>
      <c r="B15" s="12" t="s">
        <v>71</v>
      </c>
      <c r="C15" s="11" t="s">
        <v>12</v>
      </c>
      <c r="D15" s="68">
        <f>4*8*9</f>
        <v>288</v>
      </c>
      <c r="E15" s="65"/>
      <c r="F15" s="36">
        <f t="shared" si="0"/>
        <v>0</v>
      </c>
    </row>
    <row r="16" spans="1:6" ht="45" x14ac:dyDescent="0.25">
      <c r="A16" s="11">
        <v>10</v>
      </c>
      <c r="B16" s="12" t="s">
        <v>72</v>
      </c>
      <c r="C16" s="13" t="s">
        <v>12</v>
      </c>
      <c r="D16" s="69">
        <f>D15</f>
        <v>288</v>
      </c>
      <c r="E16" s="34"/>
      <c r="F16" s="36">
        <f t="shared" si="0"/>
        <v>0</v>
      </c>
    </row>
    <row r="17" spans="1:6" ht="105" x14ac:dyDescent="0.25">
      <c r="A17" s="11">
        <v>11</v>
      </c>
      <c r="B17" s="12" t="s">
        <v>73</v>
      </c>
      <c r="C17" s="28" t="s">
        <v>15</v>
      </c>
      <c r="D17" s="68">
        <f>4*8*9*0.08</f>
        <v>23.04</v>
      </c>
      <c r="E17" s="65"/>
      <c r="F17" s="36">
        <f t="shared" si="0"/>
        <v>0</v>
      </c>
    </row>
    <row r="18" spans="1:6" ht="45" x14ac:dyDescent="0.25">
      <c r="A18" s="11">
        <v>12</v>
      </c>
      <c r="B18" s="12" t="s">
        <v>74</v>
      </c>
      <c r="C18" s="13" t="s">
        <v>12</v>
      </c>
      <c r="D18" s="64">
        <f>(4*8*2+5*7)*3.4</f>
        <v>336.59999999999997</v>
      </c>
      <c r="E18" s="65"/>
      <c r="F18" s="36">
        <f t="shared" si="0"/>
        <v>0</v>
      </c>
    </row>
    <row r="19" spans="1:6" ht="90" x14ac:dyDescent="0.25">
      <c r="A19" s="11">
        <v>13</v>
      </c>
      <c r="B19" s="12" t="s">
        <v>75</v>
      </c>
      <c r="C19" s="28" t="s">
        <v>15</v>
      </c>
      <c r="D19" s="64">
        <f>(4*8*1.75)*0.2*0.15</f>
        <v>1.6800000000000002</v>
      </c>
      <c r="E19" s="67"/>
      <c r="F19" s="36">
        <f>D19*E19</f>
        <v>0</v>
      </c>
    </row>
    <row r="20" spans="1:6" ht="75" x14ac:dyDescent="0.25">
      <c r="A20" s="11">
        <v>14</v>
      </c>
      <c r="B20" s="12" t="s">
        <v>76</v>
      </c>
      <c r="C20" s="28" t="s">
        <v>15</v>
      </c>
      <c r="D20" s="64">
        <f>(4*8.2*2+9*5)*0.2*0.2</f>
        <v>4.4240000000000004</v>
      </c>
      <c r="E20" s="67"/>
      <c r="F20" s="36">
        <f>D20*E20</f>
        <v>0</v>
      </c>
    </row>
    <row r="21" spans="1:6" ht="75" x14ac:dyDescent="0.25">
      <c r="A21" s="11">
        <v>15</v>
      </c>
      <c r="B21" s="12" t="s">
        <v>77</v>
      </c>
      <c r="C21" s="11" t="s">
        <v>15</v>
      </c>
      <c r="D21" s="64">
        <f>(4*8.4*2+9*5)*0.2*0.3</f>
        <v>6.7320000000000002</v>
      </c>
      <c r="E21" s="65"/>
      <c r="F21" s="36">
        <f t="shared" si="0"/>
        <v>0</v>
      </c>
    </row>
    <row r="22" spans="1:6" ht="150" x14ac:dyDescent="0.25">
      <c r="A22" s="11">
        <v>16</v>
      </c>
      <c r="B22" s="12" t="s">
        <v>78</v>
      </c>
      <c r="C22" s="11" t="s">
        <v>15</v>
      </c>
      <c r="D22" s="70">
        <f>(0.2*0.2*3.8)*19</f>
        <v>2.8880000000000003</v>
      </c>
      <c r="E22" s="65"/>
      <c r="F22" s="36">
        <f t="shared" si="0"/>
        <v>0</v>
      </c>
    </row>
    <row r="23" spans="1:6" ht="105" x14ac:dyDescent="0.25">
      <c r="A23" s="11">
        <v>16</v>
      </c>
      <c r="B23" s="12" t="s">
        <v>79</v>
      </c>
      <c r="C23" s="11" t="s">
        <v>12</v>
      </c>
      <c r="D23" s="11">
        <f>(8.2*9.2*1.5)*4</f>
        <v>452.63999999999987</v>
      </c>
      <c r="E23" s="65"/>
      <c r="F23" s="36">
        <f t="shared" si="0"/>
        <v>0</v>
      </c>
    </row>
    <row r="24" spans="1:6" ht="60" x14ac:dyDescent="0.25">
      <c r="A24" s="11">
        <v>17</v>
      </c>
      <c r="B24" s="12" t="s">
        <v>80</v>
      </c>
      <c r="C24" s="11" t="s">
        <v>12</v>
      </c>
      <c r="D24" s="68">
        <f>(8*9)*4</f>
        <v>288</v>
      </c>
      <c r="E24" s="65"/>
      <c r="F24" s="36">
        <f t="shared" si="0"/>
        <v>0</v>
      </c>
    </row>
    <row r="25" spans="1:6" ht="75" x14ac:dyDescent="0.25">
      <c r="A25" s="11">
        <v>18</v>
      </c>
      <c r="B25" s="12" t="s">
        <v>81</v>
      </c>
      <c r="C25" s="16" t="s">
        <v>22</v>
      </c>
      <c r="D25" s="16">
        <v>1</v>
      </c>
      <c r="E25" s="34"/>
      <c r="F25" s="36">
        <f t="shared" si="0"/>
        <v>0</v>
      </c>
    </row>
    <row r="26" spans="1:6" ht="30" x14ac:dyDescent="0.25">
      <c r="A26" s="11">
        <v>19</v>
      </c>
      <c r="B26" s="71" t="s">
        <v>82</v>
      </c>
      <c r="C26" s="72" t="s">
        <v>12</v>
      </c>
      <c r="D26" s="64">
        <f>(4*8*2+4*7*2)*3.4</f>
        <v>408</v>
      </c>
      <c r="E26" s="73"/>
      <c r="F26" s="36">
        <f t="shared" si="0"/>
        <v>0</v>
      </c>
    </row>
    <row r="27" spans="1:6" ht="30" x14ac:dyDescent="0.25">
      <c r="A27" s="11">
        <v>20</v>
      </c>
      <c r="B27" s="71" t="s">
        <v>83</v>
      </c>
      <c r="C27" s="72" t="s">
        <v>12</v>
      </c>
      <c r="D27" s="64">
        <f>(4*8.3*2.2+7.4*2.3)*4</f>
        <v>360.24</v>
      </c>
      <c r="E27" s="73"/>
      <c r="F27" s="36">
        <f>D27*E27</f>
        <v>0</v>
      </c>
    </row>
    <row r="28" spans="1:6" ht="45" x14ac:dyDescent="0.25">
      <c r="A28" s="11">
        <v>21</v>
      </c>
      <c r="B28" s="71" t="s">
        <v>84</v>
      </c>
      <c r="C28" s="72" t="s">
        <v>12</v>
      </c>
      <c r="D28" s="16">
        <f>D26</f>
        <v>408</v>
      </c>
      <c r="E28" s="73"/>
      <c r="F28" s="36">
        <f t="shared" si="0"/>
        <v>0</v>
      </c>
    </row>
    <row r="29" spans="1:6" ht="30" x14ac:dyDescent="0.25">
      <c r="A29" s="11">
        <v>22</v>
      </c>
      <c r="B29" s="71" t="s">
        <v>85</v>
      </c>
      <c r="C29" s="11" t="s">
        <v>12</v>
      </c>
      <c r="D29" s="72">
        <f>D27</f>
        <v>360.24</v>
      </c>
      <c r="E29" s="73"/>
      <c r="F29" s="36">
        <f t="shared" si="0"/>
        <v>0</v>
      </c>
    </row>
    <row r="30" spans="1:6" ht="105" x14ac:dyDescent="0.25">
      <c r="A30" s="11">
        <v>23</v>
      </c>
      <c r="B30" s="74" t="s">
        <v>86</v>
      </c>
      <c r="C30" s="75" t="s">
        <v>20</v>
      </c>
      <c r="D30" s="28">
        <v>4</v>
      </c>
      <c r="E30" s="67"/>
      <c r="F30" s="36">
        <f>E30*D30</f>
        <v>0</v>
      </c>
    </row>
    <row r="31" spans="1:6" ht="150" x14ac:dyDescent="0.25">
      <c r="A31" s="11">
        <v>24</v>
      </c>
      <c r="B31" s="20" t="s">
        <v>87</v>
      </c>
      <c r="C31" s="75" t="s">
        <v>20</v>
      </c>
      <c r="D31" s="11">
        <f>4*5</f>
        <v>20</v>
      </c>
      <c r="E31" s="65"/>
      <c r="F31" s="36">
        <f t="shared" si="0"/>
        <v>0</v>
      </c>
    </row>
    <row r="32" spans="1:6" ht="75" x14ac:dyDescent="0.25">
      <c r="A32" s="11">
        <v>25</v>
      </c>
      <c r="B32" s="21" t="s">
        <v>23</v>
      </c>
      <c r="C32" s="76" t="s">
        <v>20</v>
      </c>
      <c r="D32" s="75">
        <v>2</v>
      </c>
      <c r="E32" s="77"/>
      <c r="F32" s="36">
        <f t="shared" si="0"/>
        <v>0</v>
      </c>
    </row>
    <row r="33" spans="1:6" ht="30" x14ac:dyDescent="0.25">
      <c r="A33" s="11">
        <v>26</v>
      </c>
      <c r="B33" s="21" t="s">
        <v>24</v>
      </c>
      <c r="C33" s="13" t="s">
        <v>18</v>
      </c>
      <c r="D33" s="13">
        <v>4</v>
      </c>
      <c r="E33" s="13"/>
      <c r="F33" s="36">
        <f>D33*E33</f>
        <v>0</v>
      </c>
    </row>
    <row r="34" spans="1:6" x14ac:dyDescent="0.25">
      <c r="A34" s="37"/>
      <c r="B34" s="131" t="s">
        <v>95</v>
      </c>
      <c r="C34" s="132"/>
      <c r="D34" s="132"/>
      <c r="E34" s="133"/>
      <c r="F34" s="38">
        <f>SUM(F7:F33)</f>
        <v>0</v>
      </c>
    </row>
    <row r="36" spans="1:6" x14ac:dyDescent="0.25">
      <c r="A36" s="24" t="s">
        <v>25</v>
      </c>
      <c r="B36" s="41" t="s">
        <v>49</v>
      </c>
      <c r="C36" s="42"/>
      <c r="D36" s="43"/>
      <c r="E36" s="44"/>
      <c r="F36" s="45"/>
    </row>
    <row r="37" spans="1:6" ht="75" x14ac:dyDescent="0.25">
      <c r="A37" s="11">
        <v>1</v>
      </c>
      <c r="B37" s="46" t="s">
        <v>50</v>
      </c>
      <c r="C37" s="47" t="s">
        <v>51</v>
      </c>
      <c r="D37" s="48">
        <v>1</v>
      </c>
      <c r="E37" s="34"/>
      <c r="F37" s="36">
        <f t="shared" ref="F37" si="1">D37*E37</f>
        <v>0</v>
      </c>
    </row>
    <row r="38" spans="1:6" x14ac:dyDescent="0.25">
      <c r="A38" s="37"/>
      <c r="B38" s="131" t="s">
        <v>52</v>
      </c>
      <c r="C38" s="132"/>
      <c r="D38" s="132"/>
      <c r="E38" s="133"/>
      <c r="F38" s="49">
        <f>SUM(F37)</f>
        <v>0</v>
      </c>
    </row>
    <row r="39" spans="1:6" x14ac:dyDescent="0.25">
      <c r="A39" s="52"/>
      <c r="B39" s="78"/>
      <c r="C39" s="79"/>
      <c r="D39" s="79"/>
      <c r="E39" s="80"/>
      <c r="F39" s="81"/>
    </row>
    <row r="40" spans="1:6" x14ac:dyDescent="0.25">
      <c r="A40" s="50"/>
      <c r="B40" s="134" t="s">
        <v>53</v>
      </c>
      <c r="C40" s="134"/>
      <c r="D40" s="134"/>
      <c r="E40" s="134"/>
      <c r="F40" s="84"/>
    </row>
    <row r="41" spans="1:6" ht="15.75" x14ac:dyDescent="0.25">
      <c r="A41" s="85" t="s">
        <v>10</v>
      </c>
      <c r="B41" s="155" t="str">
        <f>B34</f>
        <v>Subtotal for 4 new classrooms</v>
      </c>
      <c r="C41" s="156"/>
      <c r="D41" s="156"/>
      <c r="E41" s="157"/>
      <c r="F41" s="53">
        <f>F34</f>
        <v>0</v>
      </c>
    </row>
    <row r="42" spans="1:6" ht="15.75" x14ac:dyDescent="0.25">
      <c r="A42" s="85" t="s">
        <v>25</v>
      </c>
      <c r="B42" s="158" t="str">
        <f>B38</f>
        <v xml:space="preserve">Subtotal for visibility </v>
      </c>
      <c r="C42" s="159"/>
      <c r="D42" s="159"/>
      <c r="E42" s="160"/>
      <c r="F42" s="53">
        <f>F38</f>
        <v>0</v>
      </c>
    </row>
    <row r="43" spans="1:6" ht="15.75" x14ac:dyDescent="0.25">
      <c r="A43" s="85"/>
      <c r="B43" s="158"/>
      <c r="C43" s="156"/>
      <c r="D43" s="156"/>
      <c r="E43" s="157"/>
      <c r="F43" s="53"/>
    </row>
    <row r="44" spans="1:6" ht="15.75" x14ac:dyDescent="0.25">
      <c r="A44" s="52"/>
      <c r="B44" s="135"/>
      <c r="C44" s="136"/>
      <c r="D44" s="136"/>
      <c r="E44" s="137"/>
      <c r="F44" s="53"/>
    </row>
    <row r="45" spans="1:6" ht="15.75" x14ac:dyDescent="0.25">
      <c r="A45" s="52"/>
      <c r="B45" s="116"/>
      <c r="C45" s="117"/>
      <c r="D45" s="117"/>
      <c r="E45" s="118"/>
      <c r="F45" s="53"/>
    </row>
    <row r="46" spans="1:6" ht="16.5" thickBot="1" x14ac:dyDescent="0.3">
      <c r="A46" s="55"/>
      <c r="B46" s="119" t="s">
        <v>55</v>
      </c>
      <c r="C46" s="120"/>
      <c r="D46" s="120"/>
      <c r="E46" s="121"/>
      <c r="F46" s="56">
        <f>F44+F43+F42+F41</f>
        <v>0</v>
      </c>
    </row>
    <row r="47" spans="1:6" ht="15.75" thickBot="1" x14ac:dyDescent="0.3">
      <c r="A47" s="57"/>
      <c r="B47" s="58"/>
      <c r="C47" s="59"/>
      <c r="D47" s="59"/>
      <c r="E47" s="59"/>
      <c r="F47" s="60"/>
    </row>
    <row r="48" spans="1:6" x14ac:dyDescent="0.25">
      <c r="A48" s="61"/>
      <c r="B48" s="62" t="s">
        <v>56</v>
      </c>
      <c r="C48" s="122"/>
      <c r="D48" s="123"/>
      <c r="E48" s="123"/>
      <c r="F48" s="124"/>
    </row>
    <row r="49" spans="1:6" x14ac:dyDescent="0.25">
      <c r="A49" s="61"/>
      <c r="B49" s="62" t="s">
        <v>57</v>
      </c>
      <c r="C49" s="125"/>
      <c r="D49" s="126"/>
      <c r="E49" s="126"/>
      <c r="F49" s="127"/>
    </row>
    <row r="50" spans="1:6" x14ac:dyDescent="0.25">
      <c r="A50" s="61"/>
      <c r="B50" s="62" t="s">
        <v>58</v>
      </c>
      <c r="C50" s="125"/>
      <c r="D50" s="126"/>
      <c r="E50" s="126"/>
      <c r="F50" s="127"/>
    </row>
    <row r="51" spans="1:6" ht="15.75" thickBot="1" x14ac:dyDescent="0.3">
      <c r="A51" s="61"/>
      <c r="B51" s="62" t="s">
        <v>59</v>
      </c>
      <c r="C51" s="128"/>
      <c r="D51" s="129"/>
      <c r="E51" s="129"/>
      <c r="F51" s="130"/>
    </row>
    <row r="52" spans="1:6" x14ac:dyDescent="0.25">
      <c r="A52" s="57"/>
      <c r="B52" s="58"/>
      <c r="C52" s="59"/>
      <c r="D52" s="59"/>
      <c r="E52" s="59"/>
      <c r="F52" s="60"/>
    </row>
  </sheetData>
  <mergeCells count="15">
    <mergeCell ref="B40:E40"/>
    <mergeCell ref="B2:F2"/>
    <mergeCell ref="B3:F3"/>
    <mergeCell ref="B4:F4"/>
    <mergeCell ref="B34:E34"/>
    <mergeCell ref="B38:E38"/>
    <mergeCell ref="C48:F48"/>
    <mergeCell ref="C49:F49"/>
    <mergeCell ref="C50:F51"/>
    <mergeCell ref="B41:E41"/>
    <mergeCell ref="B42:E42"/>
    <mergeCell ref="B43:E43"/>
    <mergeCell ref="B44:E44"/>
    <mergeCell ref="B45:E45"/>
    <mergeCell ref="B46:E4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Main Summary</vt:lpstr>
      <vt:lpstr>Baidoa PS</vt:lpstr>
      <vt:lpstr>Arafat PS</vt:lpstr>
      <vt:lpstr>Mustaqbal PS</vt:lpstr>
      <vt:lpstr>'Arafat PS'!Print_Area</vt:lpstr>
      <vt:lpstr>'Baidoa PS'!Print_Area</vt:lpstr>
      <vt:lpstr>'Mustaqbal PS'!Print_Area</vt:lpstr>
    </vt:vector>
  </TitlesOfParts>
  <Company>Save the Children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Hassan4, Abdullahi</dc:creator>
  <cp:lastModifiedBy>Hassan4, Abdullahi</cp:lastModifiedBy>
  <dcterms:created xsi:type="dcterms:W3CDTF">2025-04-30T09:37:31Z</dcterms:created>
  <dcterms:modified xsi:type="dcterms:W3CDTF">2025-04-30T11:04:32Z</dcterms:modified>
</cp:coreProperties>
</file>