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A.Hassan4\Desktop\New GPE 2024-2026\Technical assessment in SS schools\Hirshabelle\Hiiraan\LOT-1 BELETWEYN &amp; MOQOKORI DISTRICTS\"/>
    </mc:Choice>
  </mc:AlternateContent>
  <xr:revisionPtr revIDLastSave="0" documentId="13_ncr:1_{569CB4C7-C312-49E7-A3D1-C1C71886E1DE}" xr6:coauthVersionLast="36" xr6:coauthVersionMax="36" xr10:uidLastSave="{00000000-0000-0000-0000-000000000000}"/>
  <bookViews>
    <workbookView xWindow="0" yWindow="0" windowWidth="20490" windowHeight="7425" activeTab="4" xr2:uid="{F43C321A-7EDD-44B0-8D32-4D95B9CA5BF2}"/>
  </bookViews>
  <sheets>
    <sheet name="Lot-1 Summary Sheet" sheetId="4" r:id="rId1"/>
    <sheet name="Moqokori PS" sheetId="5" r:id="rId2"/>
    <sheet name="Hassan Barsane PS" sheetId="1" r:id="rId3"/>
    <sheet name="Jawil PS" sheetId="2" r:id="rId4"/>
    <sheet name="Feerfeer PS" sheetId="3" r:id="rId5"/>
  </sheets>
  <definedNames>
    <definedName name="_xlnm.Print_Area" localSheetId="2">'Hassan Barsane PS'!$A$1:$F$46</definedName>
    <definedName name="_xlnm.Print_Area" localSheetId="0">'Lot-1 Summary Sheet'!$A$1:$C$16</definedName>
    <definedName name="_xlnm.Print_Area" localSheetId="1">'Moqokori PS'!$A$1:$F$123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18" i="3" l="1"/>
  <c r="B117" i="3"/>
  <c r="B116" i="3"/>
  <c r="B115" i="3"/>
  <c r="B76" i="3"/>
  <c r="F75" i="3"/>
  <c r="F73" i="3"/>
  <c r="F72" i="3"/>
  <c r="F71" i="3"/>
  <c r="D68" i="3"/>
  <c r="D69" i="3" s="1"/>
  <c r="F69" i="3" s="1"/>
  <c r="D67" i="3"/>
  <c r="F67" i="3" s="1"/>
  <c r="F61" i="3"/>
  <c r="F58" i="3"/>
  <c r="F57" i="3"/>
  <c r="F56" i="3"/>
  <c r="F55" i="3"/>
  <c r="F54" i="3"/>
  <c r="F53" i="3"/>
  <c r="F49" i="3"/>
  <c r="F47" i="3"/>
  <c r="D41" i="3"/>
  <c r="D42" i="3" s="1"/>
  <c r="D43" i="3" s="1"/>
  <c r="F43" i="3" s="1"/>
  <c r="F38" i="3"/>
  <c r="D37" i="3"/>
  <c r="F37" i="3" s="1"/>
  <c r="D36" i="3"/>
  <c r="F36" i="3" s="1"/>
  <c r="F33" i="3"/>
  <c r="F32" i="3"/>
  <c r="F31" i="3"/>
  <c r="D29" i="3"/>
  <c r="F29" i="3" s="1"/>
  <c r="D27" i="3"/>
  <c r="F27" i="3" s="1"/>
  <c r="F23" i="3"/>
  <c r="D22" i="3"/>
  <c r="F22" i="3" s="1"/>
  <c r="D21" i="3"/>
  <c r="F21" i="3" s="1"/>
  <c r="D18" i="3"/>
  <c r="D19" i="3" s="1"/>
  <c r="F19" i="3" s="1"/>
  <c r="D16" i="3"/>
  <c r="F16" i="3" s="1"/>
  <c r="D15" i="3"/>
  <c r="F15" i="3" s="1"/>
  <c r="D13" i="3"/>
  <c r="F13" i="3" s="1"/>
  <c r="D12" i="3"/>
  <c r="F12" i="3" s="1"/>
  <c r="D11" i="3"/>
  <c r="F11" i="3" s="1"/>
  <c r="D10" i="3"/>
  <c r="F10" i="3" s="1"/>
  <c r="D9" i="3"/>
  <c r="F9" i="3" s="1"/>
  <c r="D8" i="3"/>
  <c r="F8" i="3" s="1"/>
  <c r="B56" i="2"/>
  <c r="B55" i="2"/>
  <c r="B54" i="2"/>
  <c r="B38" i="1"/>
  <c r="B37" i="1"/>
  <c r="B36" i="1"/>
  <c r="D27" i="1"/>
  <c r="D22" i="1"/>
  <c r="D21" i="1"/>
  <c r="D20" i="1"/>
  <c r="D19" i="1"/>
  <c r="B116" i="5"/>
  <c r="B115" i="5"/>
  <c r="B113" i="5"/>
  <c r="F41" i="3" l="1"/>
  <c r="F68" i="3"/>
  <c r="F76" i="3" s="1"/>
  <c r="F116" i="3" s="1"/>
  <c r="F42" i="3"/>
  <c r="F18" i="3"/>
  <c r="F62" i="3" s="1"/>
  <c r="F63" i="3" s="1"/>
  <c r="F115" i="3" s="1"/>
  <c r="B76" i="5" l="1"/>
  <c r="B114" i="5" s="1"/>
  <c r="F75" i="5"/>
  <c r="F73" i="5"/>
  <c r="F72" i="5"/>
  <c r="F71" i="5"/>
  <c r="D68" i="5"/>
  <c r="D69" i="5" s="1"/>
  <c r="F69" i="5" s="1"/>
  <c r="D67" i="5"/>
  <c r="F67" i="5" s="1"/>
  <c r="F68" i="5" l="1"/>
  <c r="F76" i="5" s="1"/>
  <c r="F114" i="5" s="1"/>
  <c r="F61" i="5" l="1"/>
  <c r="F58" i="5"/>
  <c r="F57" i="5"/>
  <c r="F56" i="5"/>
  <c r="F55" i="5"/>
  <c r="F54" i="5"/>
  <c r="F53" i="5"/>
  <c r="F49" i="5"/>
  <c r="F47" i="5"/>
  <c r="D41" i="5"/>
  <c r="F41" i="5" s="1"/>
  <c r="F38" i="5"/>
  <c r="D37" i="5"/>
  <c r="F37" i="5" s="1"/>
  <c r="D36" i="5"/>
  <c r="F36" i="5" s="1"/>
  <c r="F33" i="5"/>
  <c r="F32" i="5"/>
  <c r="F31" i="5"/>
  <c r="D29" i="5"/>
  <c r="F29" i="5" s="1"/>
  <c r="D27" i="5"/>
  <c r="F27" i="5" s="1"/>
  <c r="F23" i="5"/>
  <c r="D22" i="5"/>
  <c r="F22" i="5" s="1"/>
  <c r="D21" i="5"/>
  <c r="F21" i="5" s="1"/>
  <c r="D18" i="5"/>
  <c r="F18" i="5" s="1"/>
  <c r="D16" i="5"/>
  <c r="F16" i="5" s="1"/>
  <c r="D15" i="5"/>
  <c r="F15" i="5" s="1"/>
  <c r="D13" i="5"/>
  <c r="F13" i="5" s="1"/>
  <c r="D12" i="5"/>
  <c r="F12" i="5" s="1"/>
  <c r="D11" i="5"/>
  <c r="F11" i="5" s="1"/>
  <c r="D10" i="5"/>
  <c r="F10" i="5" s="1"/>
  <c r="D9" i="5"/>
  <c r="F9" i="5" s="1"/>
  <c r="D8" i="5"/>
  <c r="F8" i="5" s="1"/>
  <c r="D42" i="5" l="1"/>
  <c r="D43" i="5" s="1"/>
  <c r="F43" i="5" s="1"/>
  <c r="D19" i="5"/>
  <c r="F19" i="5" s="1"/>
  <c r="F42" i="5"/>
  <c r="F62" i="5" s="1"/>
  <c r="F63" i="5" s="1"/>
  <c r="F113" i="5" s="1"/>
  <c r="F110" i="5" l="1"/>
  <c r="F111" i="5" s="1"/>
  <c r="F116" i="5" s="1"/>
  <c r="F106" i="5"/>
  <c r="F105" i="5"/>
  <c r="D104" i="5"/>
  <c r="F104" i="5" s="1"/>
  <c r="F103" i="5"/>
  <c r="D100" i="5"/>
  <c r="F100" i="5" s="1"/>
  <c r="D99" i="5"/>
  <c r="F99" i="5" s="1"/>
  <c r="F98" i="5"/>
  <c r="D96" i="5"/>
  <c r="F96" i="5" s="1"/>
  <c r="D95" i="5"/>
  <c r="F95" i="5" s="1"/>
  <c r="D94" i="5"/>
  <c r="F94" i="5" s="1"/>
  <c r="D93" i="5"/>
  <c r="F93" i="5" s="1"/>
  <c r="D92" i="5"/>
  <c r="F92" i="5" s="1"/>
  <c r="D91" i="5"/>
  <c r="F91" i="5" s="1"/>
  <c r="D90" i="5"/>
  <c r="F90" i="5" s="1"/>
  <c r="D88" i="5"/>
  <c r="F88" i="5" s="1"/>
  <c r="D87" i="5"/>
  <c r="F87" i="5" s="1"/>
  <c r="D86" i="5"/>
  <c r="F86" i="5" s="1"/>
  <c r="D85" i="5"/>
  <c r="F85" i="5" s="1"/>
  <c r="D84" i="5"/>
  <c r="F84" i="5" s="1"/>
  <c r="D83" i="5"/>
  <c r="F83" i="5" s="1"/>
  <c r="D82" i="5"/>
  <c r="F82" i="5" s="1"/>
  <c r="D81" i="5"/>
  <c r="F81" i="5" s="1"/>
  <c r="D80" i="5"/>
  <c r="F80" i="5" s="1"/>
  <c r="F111" i="3"/>
  <c r="F112" i="3" s="1"/>
  <c r="F118" i="3" s="1"/>
  <c r="F106" i="3"/>
  <c r="F105" i="3"/>
  <c r="D104" i="3"/>
  <c r="F104" i="3" s="1"/>
  <c r="F103" i="3"/>
  <c r="D100" i="3"/>
  <c r="F100" i="3" s="1"/>
  <c r="D99" i="3"/>
  <c r="F99" i="3" s="1"/>
  <c r="F98" i="3"/>
  <c r="D96" i="3"/>
  <c r="F96" i="3" s="1"/>
  <c r="D95" i="3"/>
  <c r="F95" i="3" s="1"/>
  <c r="D94" i="3"/>
  <c r="F94" i="3" s="1"/>
  <c r="D93" i="3"/>
  <c r="F93" i="3" s="1"/>
  <c r="D92" i="3"/>
  <c r="F92" i="3" s="1"/>
  <c r="D91" i="3"/>
  <c r="F91" i="3" s="1"/>
  <c r="D90" i="3"/>
  <c r="F90" i="3" s="1"/>
  <c r="D88" i="3"/>
  <c r="F88" i="3" s="1"/>
  <c r="D87" i="3"/>
  <c r="F87" i="3" s="1"/>
  <c r="D86" i="3"/>
  <c r="F86" i="3" s="1"/>
  <c r="D85" i="3"/>
  <c r="F85" i="3" s="1"/>
  <c r="D84" i="3"/>
  <c r="F84" i="3" s="1"/>
  <c r="D83" i="3"/>
  <c r="F83" i="3" s="1"/>
  <c r="D82" i="3"/>
  <c r="F82" i="3" s="1"/>
  <c r="D81" i="3"/>
  <c r="F81" i="3" s="1"/>
  <c r="D80" i="3"/>
  <c r="F80" i="3" s="1"/>
  <c r="F50" i="2"/>
  <c r="F51" i="2" s="1"/>
  <c r="F56" i="2" s="1"/>
  <c r="F46" i="2"/>
  <c r="F45" i="2"/>
  <c r="D44" i="2"/>
  <c r="F44" i="2" s="1"/>
  <c r="F43" i="2"/>
  <c r="D40" i="2"/>
  <c r="D42" i="2" s="1"/>
  <c r="F42" i="2" s="1"/>
  <c r="D39" i="2"/>
  <c r="D41" i="2" s="1"/>
  <c r="F41" i="2" s="1"/>
  <c r="F38" i="2"/>
  <c r="D37" i="2"/>
  <c r="F37" i="2" s="1"/>
  <c r="D36" i="2"/>
  <c r="F36" i="2" s="1"/>
  <c r="D35" i="2"/>
  <c r="F35" i="2" s="1"/>
  <c r="D34" i="2"/>
  <c r="F34" i="2" s="1"/>
  <c r="D33" i="2"/>
  <c r="F33" i="2" s="1"/>
  <c r="D32" i="2"/>
  <c r="F32" i="2" s="1"/>
  <c r="D31" i="2"/>
  <c r="F31" i="2" s="1"/>
  <c r="D30" i="2"/>
  <c r="F30" i="2" s="1"/>
  <c r="D28" i="2"/>
  <c r="F28" i="2" s="1"/>
  <c r="D27" i="2"/>
  <c r="F27" i="2" s="1"/>
  <c r="D26" i="2"/>
  <c r="F26" i="2" s="1"/>
  <c r="D25" i="2"/>
  <c r="F25" i="2" s="1"/>
  <c r="D24" i="2"/>
  <c r="F24" i="2" s="1"/>
  <c r="D23" i="2"/>
  <c r="F23" i="2" s="1"/>
  <c r="D22" i="2"/>
  <c r="F22" i="2" s="1"/>
  <c r="D21" i="2"/>
  <c r="F21" i="2" s="1"/>
  <c r="D20" i="2"/>
  <c r="F20" i="2" s="1"/>
  <c r="F16" i="2"/>
  <c r="D15" i="2"/>
  <c r="F14" i="2"/>
  <c r="F13" i="2"/>
  <c r="F12" i="2"/>
  <c r="F11" i="2"/>
  <c r="D10" i="2"/>
  <c r="F10" i="2" s="1"/>
  <c r="D9" i="2"/>
  <c r="F9" i="2" s="1"/>
  <c r="D8" i="2"/>
  <c r="F8" i="2" s="1"/>
  <c r="D7" i="2"/>
  <c r="F7" i="2" s="1"/>
  <c r="F32" i="1"/>
  <c r="F33" i="1" s="1"/>
  <c r="F38" i="1" s="1"/>
  <c r="F28" i="1"/>
  <c r="F27" i="1"/>
  <c r="F26" i="1"/>
  <c r="F25" i="1"/>
  <c r="F24" i="1"/>
  <c r="F23" i="1"/>
  <c r="F22" i="1"/>
  <c r="F21" i="1"/>
  <c r="F20" i="1"/>
  <c r="F19" i="1"/>
  <c r="F15" i="1"/>
  <c r="F14" i="1"/>
  <c r="F13" i="1"/>
  <c r="F12" i="1"/>
  <c r="D11" i="1"/>
  <c r="F11" i="1" s="1"/>
  <c r="D10" i="1"/>
  <c r="F10" i="1" s="1"/>
  <c r="D9" i="1"/>
  <c r="F9" i="1" s="1"/>
  <c r="D8" i="1"/>
  <c r="F8" i="1" s="1"/>
  <c r="D7" i="1"/>
  <c r="F7" i="1" s="1"/>
  <c r="F39" i="2" l="1"/>
  <c r="F17" i="2"/>
  <c r="F54" i="2" s="1"/>
  <c r="F29" i="1"/>
  <c r="F37" i="1" s="1"/>
  <c r="D101" i="5"/>
  <c r="F101" i="5" s="1"/>
  <c r="D89" i="5"/>
  <c r="F89" i="5" s="1"/>
  <c r="D102" i="5"/>
  <c r="F102" i="5" s="1"/>
  <c r="D101" i="3"/>
  <c r="F101" i="3" s="1"/>
  <c r="D102" i="3"/>
  <c r="F102" i="3" s="1"/>
  <c r="D89" i="3"/>
  <c r="D97" i="3" s="1"/>
  <c r="F97" i="3" s="1"/>
  <c r="F40" i="2"/>
  <c r="D29" i="2"/>
  <c r="F29" i="2" s="1"/>
  <c r="F16" i="1"/>
  <c r="F36" i="1" s="1"/>
  <c r="F40" i="1" l="1"/>
  <c r="C7" i="4" s="1"/>
  <c r="F47" i="2"/>
  <c r="F55" i="2" s="1"/>
  <c r="F57" i="2" s="1"/>
  <c r="C8" i="4" s="1"/>
  <c r="D97" i="5"/>
  <c r="F97" i="5" s="1"/>
  <c r="F107" i="5"/>
  <c r="F115" i="5" s="1"/>
  <c r="F117" i="5" s="1"/>
  <c r="C6" i="4" s="1"/>
  <c r="F89" i="3"/>
  <c r="F107" i="3" s="1"/>
  <c r="F117" i="3" s="1"/>
  <c r="F120" i="3" s="1"/>
  <c r="C9" i="4" s="1"/>
  <c r="C10" i="4" l="1"/>
</calcChain>
</file>

<file path=xl/sharedStrings.xml><?xml version="1.0" encoding="utf-8"?>
<sst xmlns="http://schemas.openxmlformats.org/spreadsheetml/2006/main" count="572" uniqueCount="180">
  <si>
    <t>Project:</t>
  </si>
  <si>
    <t>GPE/STG</t>
  </si>
  <si>
    <t>Work</t>
  </si>
  <si>
    <t>Rehab in Sheikh hassan barsane primary school,</t>
  </si>
  <si>
    <t>Location:</t>
  </si>
  <si>
    <t>Item</t>
  </si>
  <si>
    <t>Description</t>
  </si>
  <si>
    <t>Unit</t>
  </si>
  <si>
    <t>Quantity</t>
  </si>
  <si>
    <t xml:space="preserve">Rate USD </t>
  </si>
  <si>
    <t>Amount USD</t>
  </si>
  <si>
    <t>A</t>
  </si>
  <si>
    <t xml:space="preserve">Classroom rehabilitations (6) </t>
  </si>
  <si>
    <t>Note: the quantities specified below represent the total requirement for all 6 classrooms</t>
  </si>
  <si>
    <t xml:space="preserve">Carefully remove existing roofing sheets and ceiling from class rooms. Repair any damage on timber structure by nailing and repairing. . Supply materials and install 26 gauge aluminium roofing sheets or equal and approved corrosion resistant roofing sheets strictly approved by SCI engineer with the provision of manufacturer data sheets. Cost shall include repair and replacement of any broken purlin, rafter or other part of the timber structure as directed by SCI engineer. </t>
  </si>
  <si>
    <t>m2</t>
  </si>
  <si>
    <t xml:space="preserve">Supply materials and install 5mm prepainted stripped ceiling boards nailed on 40x40mm timber brandering at 600mm spacing. </t>
  </si>
  <si>
    <t xml:space="preserve">Hack out damaged floor screed and disposed off. Strip, level and compact the ground to received RCC concrete. Pour and vibrate 80mm reinforced concrete slab including 8mm steel reinforcement of 20x20cm spacing. Concrete shall be finished smoothly with concrete helicopter to SCI engineer approval. </t>
  </si>
  <si>
    <t>m3</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</si>
  <si>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1.2x1.2m all painted with anti-corrosion paint. </t>
  </si>
  <si>
    <t>no</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</si>
  <si>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1.2x2.1m.  </t>
  </si>
  <si>
    <t>No</t>
  </si>
  <si>
    <t>Electrical installation works in classrooms including wiring, ducting, lights, sockets and ceiling fans in classrooms</t>
  </si>
  <si>
    <t>lsm</t>
  </si>
  <si>
    <t xml:space="preserve">Allow for construction of access ramps of 1.2m wide with stainless steel guardrails and built as per the design documents to the required slope of not exceeding 1 in 15. </t>
  </si>
  <si>
    <t>Supply and installation of 1.2x2.4m blackboard to SCI engineers approval</t>
  </si>
  <si>
    <t>C</t>
  </si>
  <si>
    <t>Apply 2 coats of exterior paint on external walls of toilets</t>
  </si>
  <si>
    <t xml:space="preserve">Apply 2 coats of emulsion paint and 2 coats of glossy paint on internal walls.  </t>
  </si>
  <si>
    <t>Scrap existing floor, prepare surface and install 300x300x8cm non-slip ceramic tiles on toilet floors</t>
  </si>
  <si>
    <t xml:space="preserve">Supply and install 300x300x8cm ceramic wall tiles on cement backing up to 1.5m from floor level. </t>
  </si>
  <si>
    <t xml:space="preserve">Supply and install squating type WCs and improvement of soil water discharge pipes </t>
  </si>
  <si>
    <t xml:space="preserve">Allow for plubming and drainage pipes improvement including side water taps.   </t>
  </si>
  <si>
    <t>Supply and installation of 0.9x2.1m heavy duty steel doors of approved quality by SCI engineers</t>
  </si>
  <si>
    <t>Rehabilitation of handwashing area with repairs, tiling, water taps and drainage piping.</t>
  </si>
  <si>
    <t xml:space="preserve">Remove existing roof cover and supply and install 26 gauge aluminium roofing sheets. </t>
  </si>
  <si>
    <t xml:space="preserve">Supply piping materials and accessories and install water distribution pipes to toilets and handwashing areas of the school </t>
  </si>
  <si>
    <t>lms</t>
  </si>
  <si>
    <t>B</t>
  </si>
  <si>
    <t>VISIBILITY</t>
  </si>
  <si>
    <t xml:space="preserve">Paint SCI, GPE and MOECHE logos on the newly constructed classrooms and other facilities.  Size should be (3m wide x3m long with details as to be provided by SCI communication department). </t>
  </si>
  <si>
    <t>NO</t>
  </si>
  <si>
    <t xml:space="preserve">Subtotal for visibility </t>
  </si>
  <si>
    <t>GRAND TOTAL  FOR WORKS</t>
  </si>
  <si>
    <t xml:space="preserve">Company: </t>
  </si>
  <si>
    <t>Representative:</t>
  </si>
  <si>
    <t>Signature:</t>
  </si>
  <si>
    <t>Stamp:</t>
  </si>
  <si>
    <t>WASH FACILITIES Rehabs - (4)</t>
  </si>
  <si>
    <t>Subtotal for 4 Wash facilities rehab</t>
  </si>
  <si>
    <t>NEW CLASSROOMS (3)</t>
  </si>
  <si>
    <t>Top soil stripping and removal of any debris away from the site</t>
  </si>
  <si>
    <t xml:space="preserve">Excavation for linear foundation strip of 50cm wide and 60cm minimum depth. And including column footings of 80x80cm and 1.2m depth. </t>
  </si>
  <si>
    <t>M3</t>
  </si>
  <si>
    <t xml:space="preserve">5cm plain concrete blinding to the bottom of strip foundation and column footings </t>
  </si>
  <si>
    <t>Construction of 40cm bushstone foundation 50cm below ground level and 40cm above ground level</t>
  </si>
  <si>
    <t xml:space="preserve">Construction of 20x40cm RCC plinth beam with 4No Y14 main rebars and Y8 strips of 20cm spacing and including formwork and all necessary fixing procedures. Concrete mix proportion of 1:2:4, cement, sand and coarse aggregates. </t>
  </si>
  <si>
    <t>70x70x30cm RCC column footings with Y12 steel reinforcement of 15cm spacing including formwork and other associated works. Concrete mix proportion of 1:2:4, cement, sand and coarse aggregates.</t>
  </si>
  <si>
    <t>20x20cm RCC column starters with 4Y14 main rebars and Y8 links of 20cm spacing and including formwork and other associated works. Concrete mix proportion of 1:2:4, cement, sand and coarse aggregates.</t>
  </si>
  <si>
    <t xml:space="preserve">Foundation backfilling with hardcore in 20cm hand packed layers. </t>
  </si>
  <si>
    <t>5cm compacted murram blinding</t>
  </si>
  <si>
    <t xml:space="preserve">1000G DPM Polythene sheet laid over compacted murram surface to receive concrete. </t>
  </si>
  <si>
    <t xml:space="preserve">8cm reinforced concrete ground floor slab with 6mm mild steel rebars at 20cm centers and including formwork.  Concrete surface to be strictly finished with concrete helicopter to SCI engineers approval. No further finishing shall be done on top of the concrete. </t>
  </si>
  <si>
    <t xml:space="preserve">construction of 20cm concrete hollow blocks with 12G hoop iron at alternate joints. </t>
  </si>
  <si>
    <t>20x15cm RCC beam below windows with Y12 main rebars and R6 links of 20cm spacing and including formwork and other associated works. Concrete mix proportion of 1:2:4, cement, sand and coarse aggregates.</t>
  </si>
  <si>
    <t>20x20cm RCC lintel beam with Y12 main rebars and R6 links of 20cm spacing and including formwork and other associated works. Concrete mix proportion of 1:2:4, cement, sand and coarse aggregates.</t>
  </si>
  <si>
    <t>20x30cm RCC ring beam with Y14 main rebars and R8 links of 20cm spacing and including formwork and other associated works. Concrete mix proportion of 1:2:4, cement, sand and coarse aggregates.</t>
  </si>
  <si>
    <t>construction of RRC columns  for classrooms and verandah with dimension of 20cmx20cm and height not exceeded 3.8m and # of columns is 15 columns. Using 4Y12 and R6 at 20cm c/c, this includes formwork and all the support concrete needs. Columns will start from 60cm below the Ground level up to roof beam. see the drawing for further instructions.</t>
  </si>
  <si>
    <t xml:space="preserve">Supply materials and install 26/30 gauge aluminium roofing sheets nailed with steel roofing nails including rubber washers. Cost to include timber structure frames made of 15x4cm for bottom cord, rafters and king post and 7x4cm struts and 8x8cm purlins all painted. </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</si>
  <si>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</si>
  <si>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</si>
  <si>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20mm cement and sand plaster with mix ratio of 1:4 on internal wall surfaces</t>
  </si>
  <si>
    <t>20mm cement and sand plaster with mix ratio of 1:4 on external wall surfaces</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</si>
  <si>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</si>
  <si>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</si>
  <si>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</si>
  <si>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Subtotal for 3 new classrooms</t>
  </si>
  <si>
    <t>D</t>
  </si>
  <si>
    <t>New classrooms in feer feer primary school,</t>
  </si>
  <si>
    <t>SUBSTRUCTURE WORKS</t>
  </si>
  <si>
    <t xml:space="preserve">Earthworks and Excavations </t>
  </si>
  <si>
    <t xml:space="preserve">Clear site of all bushes, grab up roots before work commences and burn all arisings. Mobilize and transport all necessary materials on site. </t>
  </si>
  <si>
    <t>M2</t>
  </si>
  <si>
    <t>Excavate latrine pit of dimensions 2m wide by 3m long to depth of 5m from existing ground level.</t>
  </si>
  <si>
    <t>construction of 15cm thick of stone wall for four sides of pit latrine with dimension of 10m long and 5m deep.</t>
  </si>
  <si>
    <t xml:space="preserve">Excavate foundoutation trench with dimension of  (0.40m width x 0.3m deep x length). Remove away from the site all surplus and un necessary materials. </t>
  </si>
  <si>
    <t>Lay 50 mm blinding layer-1:2:4 concrete (40 mm aggregate size) under the rubble stone  foundation base as  directed by SCI Engineer.</t>
  </si>
  <si>
    <t xml:space="preserve">Construction of Rubble stone foundation, all joints between stone should filled with cement and sand with mortor ration of 1:4. (0.6m high x 0.4m wide x 36.1m length) 30cm above ground level, depends on the nature of the land. </t>
  </si>
  <si>
    <t>Concrete works</t>
  </si>
  <si>
    <t>15cm R.C (1:2:4 mix) in No.1. Ground beam with re-bars 4N0. Y12 &amp; R6 links @ 250 mm c/c. (0.40m x 0.15m). Concrete should be vibrated using by hand vibrated machine to remove air pockets/spaces. Curing should be 4 days ( twice each day).</t>
  </si>
  <si>
    <t>Hardcore filling</t>
  </si>
  <si>
    <t>200mm Return, fill and well ram selected excavated materials around foundations. Remove surplus excavated materials from site.</t>
  </si>
  <si>
    <t>200mm thick hardcore bed well compacted and levelled under floors and veranda.</t>
  </si>
  <si>
    <t>Floor Construction</t>
  </si>
  <si>
    <t>Cement and sand (mix 1:4) in 3cm thick screed bed trowelled hard and smooth to receive  floor tiles (measured separately).</t>
  </si>
  <si>
    <t>300x300x8mm thick non-slip ceramic floor tiles to latrine floor on cement and sand backing.</t>
  </si>
  <si>
    <t>300x300x8mm thick Ceramic wall tiles for internal latrine walls and hand washing areas, joints should be filled with 1:4 cement and sand and height should be 2m.</t>
  </si>
  <si>
    <t xml:space="preserve">Walling </t>
  </si>
  <si>
    <t>Construction of 150mm hallow block walling, bedded and jointed in cement and sand with ration of  (mix 1:4) mortar. The hieght up to 2.9m from the foundation level.</t>
  </si>
  <si>
    <t>Super structure concrete works.</t>
  </si>
  <si>
    <t>Construction of 15cm thick RCC lintel beams above the doors and windows for all walls both internal and external walls. The dimension should be ( 15cmx15cm) with ration of (1:2:4) with 4Y12 dia @20cm c/c. the staffs should be 6mm dia. Curing should be 3 days ( twice each day).</t>
  </si>
  <si>
    <t xml:space="preserve">Ramps and Stair Steps </t>
  </si>
  <si>
    <t>Construct of Gentle slope ramps. Dimension to be approved on site  Apply an 8cm concrete screed to the upper section of the ramp.</t>
  </si>
  <si>
    <t>LS</t>
  </si>
  <si>
    <t>Install stainless steel (Grade 304) handrails along the sides 
of the ramp. The height of the handrails to be approved on site.</t>
  </si>
  <si>
    <t>Construct stair steps adjacent to the entry of latrines. Stair tread should be 30cm and stair riser should be 15cm.</t>
  </si>
  <si>
    <t>ROOF WORKS</t>
  </si>
  <si>
    <t xml:space="preserve">20 cm Fascia board around the four sides of the building. </t>
  </si>
  <si>
    <t>WALL FINISHES</t>
  </si>
  <si>
    <t>External &amp; internal plastering ,12 mm thick, cement / sand mix 1:3, with wood float finish.</t>
  </si>
  <si>
    <t>Apply two coats white wash and distemper paint the plastered wall surface.</t>
  </si>
  <si>
    <t>Apply two coats of distempering on all wall  faces both exterior and interior of wall surfaces. Type of painting to be approved by SCI Engineer.</t>
  </si>
  <si>
    <t>DOORS AND VENTILATIONS</t>
  </si>
  <si>
    <t>Metal doors</t>
  </si>
  <si>
    <t>Supply and fix double leafed metal doors (90x220)cm, complete with frame, hinges &amp; locks. The disabled latrine should be 1.2m wide.</t>
  </si>
  <si>
    <t>Vent Blocks</t>
  </si>
  <si>
    <t>Supply and fix pre-fabricated ventilation Blocks (400mm x 400mm) complete with wooden frame and fly-trap screen.</t>
  </si>
  <si>
    <t>PLUMPING WORKS</t>
  </si>
  <si>
    <t>Fittings</t>
  </si>
  <si>
    <t>20mm dia stailess steel Grab rail in Disbled WC</t>
  </si>
  <si>
    <t xml:space="preserve">Close coupled WC Twyfords makeor equal approved with necessary drainage piping and manholes to latrine pit. </t>
  </si>
  <si>
    <t>Wall mounted Pegler tap or equal approved complete with necessary
piping and joints</t>
  </si>
  <si>
    <t xml:space="preserve">Allow for water connection and piping from the school storage tank, </t>
  </si>
  <si>
    <t>Lsm</t>
  </si>
  <si>
    <t xml:space="preserve">ELECTRICAL WORKS </t>
  </si>
  <si>
    <t xml:space="preserve">Allow for supply and installation of one lighting point and switch for each toilet. </t>
  </si>
  <si>
    <t>NEW CLASSROOMS (8)</t>
  </si>
  <si>
    <t>Note: the quantities specified below represent the total requirement for all 8 classrooms</t>
  </si>
  <si>
    <t>20x20cm RCC column starters with 4Y12 main rebars and Y6 links of 20cm spacing and including formwork and other associated works. Concrete mix proportion of 1:2:4, cement, sand and coarse aggregates.</t>
  </si>
  <si>
    <t>20x20cm RCC columns with 4Y12 main rebars and Y6 links of 20cm spacing and including formwork and other associated works. Concrete mix proportion of 1:2:4, cement, sand and coarse aggregates.</t>
  </si>
  <si>
    <t>Supply materials and install 26 gauge aluminium roofing sheets nailed with steel roofing nails including rubber washers. Cost to include timber structure frames made of 15x4cm for bottom cord, rafters and king post and 7x4cm struts and 8x8cm purlins all painted. cost to include 15x2cm fascia board.</t>
  </si>
  <si>
    <t xml:space="preserve">1.2x2.1m imported steel door including its frame and locking mechanism to SCI engineer's approval. </t>
  </si>
  <si>
    <t xml:space="preserve">Supply and installation of 1.2x2.4m blackboard to SCI engineers approval. </t>
  </si>
  <si>
    <t>Subtotal for 8 new classrooms</t>
  </si>
  <si>
    <t>Work:</t>
  </si>
  <si>
    <t>Description of Item</t>
  </si>
  <si>
    <t>GRAND TOTAL WORKS - USD</t>
  </si>
  <si>
    <t>Name:</t>
  </si>
  <si>
    <t>Signature</t>
  </si>
  <si>
    <t>Company</t>
  </si>
  <si>
    <t xml:space="preserve">Date: </t>
  </si>
  <si>
    <t xml:space="preserve">LOT 1: Grand Summary </t>
  </si>
  <si>
    <t>Beletweyn, Moqokori, Jawil and Feer, Hiran region, Hirshabelle state of Somalia</t>
  </si>
  <si>
    <t>Hassan Barsame Primary School</t>
  </si>
  <si>
    <t>Jawil Primary School</t>
  </si>
  <si>
    <t>Feer Feer Primary school</t>
  </si>
  <si>
    <t xml:space="preserve">NEW TOILETS (one twin blocks) </t>
  </si>
  <si>
    <t>12cm R.C (1:2:4 mix) in No.1. Pit slab with re-bars 4N0. Y12 &amp; R6 links @ 150 mm c/c. (0.40m x 0.15m). Concrete should be vibrated using by hand vibrated machine to remove air pockets/spaces. Curing should be 4 days ( twice each day). This includes two two ventilited pipe from the pit latrine.</t>
  </si>
  <si>
    <t>Roofing with #28/26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</si>
  <si>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East type WC Pan (squating type WCs ) Twyfords or equal approved and completed with necessary drainage piping work and manholes to the latrine pit. </t>
  </si>
  <si>
    <t>Hand wahing sink complete with necessary piping and joints. This should be child friendly use. Note imported on not recommended, instead use the stand block wall with good fittings.</t>
  </si>
  <si>
    <t>Subtotalfor one twin latrine</t>
  </si>
  <si>
    <t>Subtotal for two twin latrine</t>
  </si>
  <si>
    <t>TANK BASE</t>
  </si>
  <si>
    <t>Construct a rubble stone flat platform base for a water tank measuring 1.8m in width and 2.5m in length. The platform will be raised 1m above ground level and extend 0.3m below ground level. All stone joints will be filled with a 1:4 mortar mix for added stability.</t>
  </si>
  <si>
    <t>Plaster the surfaces of the platform using cement and sand mortar ratio of 1:3 for a smooth finish.</t>
  </si>
  <si>
    <t>Apply one undercoat and two finishing coats of emulsion paint on the plastered surface.</t>
  </si>
  <si>
    <t>WATER TANK &amp; PLUMBING</t>
  </si>
  <si>
    <t>Supply, deliver, and install horizontal plastic-molded water tank with a capacity of 3000 liters. The tank will come complete with covers and screwed connections for inlet, outlet, overflow, and other necessary items for proper functioning, including fittings and valves. Mount the tanks on the raised flat platform.</t>
  </si>
  <si>
    <t>Supply and install all necessary pipes and fittings from the water point to the tank. Ensure a proper and functional water flow system is established to connect the water source to the tank for efficient water storage and distribution.</t>
  </si>
  <si>
    <t>Excavate water collection pit near the water tank for collecting disposed water from the water point area. Fill it with rubbor stones in the pit. Lay crushed stone and plain concrete on the waterway leading to the pit. Ensure a proper and functional water disposal system.</t>
  </si>
  <si>
    <t>RAINWATER GUTTER</t>
  </si>
  <si>
    <t>Install rainwater gutters around the new classrooms roof and connect it to the downspouts to water storage tank. To SCI engineer approval</t>
  </si>
  <si>
    <t>M</t>
  </si>
  <si>
    <t>Moqokori District, Hiran region- Hirshabele state of somalia-Lot-1</t>
  </si>
  <si>
    <t xml:space="preserve">One Ground Water Tank </t>
  </si>
  <si>
    <t>Beletweyn Town, Hiran region- Hirshabele state of somalia-Lot-1</t>
  </si>
  <si>
    <t>Subtotal for 6 classrooms rehabs</t>
  </si>
  <si>
    <t>WASH FACILITIES Rehabs - (2)</t>
  </si>
  <si>
    <t xml:space="preserve">MAIN SUMMARY </t>
  </si>
  <si>
    <t>Subtotal for 2 Wash facilities rehab</t>
  </si>
  <si>
    <t>Jawil Village, Beletweyn, Hiran region- Hirshabele state of somalia-Lot-1</t>
  </si>
  <si>
    <t>New classrooms and WASH rehabs in Jawil primary school,</t>
  </si>
  <si>
    <t>Feer feer Village, Beletweyne, Hiran region- Hirshabele state of somalia-Lot-1</t>
  </si>
  <si>
    <t>Moqokori Primary school</t>
  </si>
  <si>
    <t>Construction and Rehabs works in Moqokori, Hassan barsame, Jawil and Feer primary schools</t>
  </si>
  <si>
    <t>New classrooms in Moqokori primary school,</t>
  </si>
  <si>
    <t xml:space="preserve">Apply one coat of white wash and 2 finishing coats of emulsion paint and one Glosy paint up to 2 meter on internal wall surfaces. </t>
  </si>
  <si>
    <t xml:space="preserve">Apply 2 coats of emulsion paint and one Glossy paint up to 2 meter on internal wall surfaces.  and 2 coats of emulsion paint external walls. Colour to be as approved by SCI/MoECHE engineers.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</si>
</sst>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00_-;\-* #,##0.00_-;_-* &quot;-&quot;??_-;_-@_-"/>
    <numFmt numFmtId="165" formatCode="#,##0.000"/>
    <numFmt numFmtId="166" formatCode="_(* #,##0.0_);_(* \(#,##0.0\);_(* &quot;-&quot;??_);_(@_)"/>
  </numFmts>
  <fonts count="47"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Gill Sans MT"/>
      <family val="2"/>
    </font>
    <font>
      <b/>
      <sz val="11"/>
      <color theme="1"/>
      <name val="Gill Sans MT"/>
      <family val="2"/>
    </font>
    <font>
      <sz val="11"/>
      <name val="Calibri"/>
      <family val="2"/>
      <scheme val="minor"/>
    </font>
    <font>
      <b/>
      <sz val="10"/>
      <name val="Arial"/>
      <family val="2"/>
    </font>
    <font>
      <sz val="10"/>
      <name val="Arial"/>
      <family val="2"/>
    </font>
    <font>
      <sz val="12"/>
      <name val="Calibri"/>
      <family val="2"/>
    </font>
    <font>
      <sz val="12"/>
      <name val="Calibri"/>
      <family val="2"/>
      <scheme val="minor"/>
    </font>
    <font>
      <b/>
      <sz val="12"/>
      <color theme="1"/>
      <name val="Calibri"/>
      <family val="2"/>
      <scheme val="minor"/>
    </font>
    <font>
      <b/>
      <sz val="12"/>
      <name val="Calibri"/>
      <family val="2"/>
      <scheme val="minor"/>
    </font>
    <font>
      <b/>
      <sz val="11"/>
      <name val="Calibri"/>
      <family val="2"/>
      <scheme val="minor"/>
    </font>
    <font>
      <sz val="9"/>
      <name val="Arial"/>
      <family val="2"/>
    </font>
    <font>
      <b/>
      <u/>
      <sz val="11"/>
      <name val="Times New Roman"/>
      <family val="1"/>
    </font>
    <font>
      <sz val="11"/>
      <color theme="1"/>
      <name val="Times New Roman"/>
      <family val="1"/>
    </font>
    <font>
      <b/>
      <sz val="8"/>
      <name val="Arial"/>
      <family val="2"/>
    </font>
    <font>
      <b/>
      <sz val="12"/>
      <name val="Arial"/>
      <family val="2"/>
    </font>
    <font>
      <sz val="11"/>
      <name val="Times New Roman"/>
      <family val="1"/>
    </font>
    <font>
      <sz val="12"/>
      <color theme="1"/>
      <name val="Calibri"/>
      <family val="2"/>
      <scheme val="minor"/>
    </font>
    <font>
      <b/>
      <u/>
      <sz val="10"/>
      <name val="Calibri"/>
      <family val="2"/>
      <scheme val="minor"/>
    </font>
    <font>
      <u/>
      <sz val="10"/>
      <color rgb="FFFF0000"/>
      <name val="Calibri"/>
      <family val="2"/>
      <scheme val="minor"/>
    </font>
    <font>
      <sz val="9"/>
      <name val="Calibri"/>
      <family val="2"/>
      <scheme val="minor"/>
    </font>
    <font>
      <u/>
      <sz val="11"/>
      <color rgb="FFFF0000"/>
      <name val="Calibri"/>
      <family val="2"/>
      <scheme val="minor"/>
    </font>
    <font>
      <b/>
      <sz val="11"/>
      <name val="Times New Roman"/>
      <family val="1"/>
    </font>
    <font>
      <sz val="10"/>
      <name val="Times New Roman"/>
      <family val="1"/>
    </font>
    <font>
      <b/>
      <u/>
      <sz val="11"/>
      <name val="Calibri"/>
      <family val="2"/>
      <scheme val="minor"/>
    </font>
    <font>
      <b/>
      <sz val="12"/>
      <name val="Calibri Light"/>
      <family val="2"/>
      <scheme val="major"/>
    </font>
    <font>
      <b/>
      <sz val="16"/>
      <color rgb="FF000000"/>
      <name val="Gill Sans MT"/>
      <family val="2"/>
    </font>
    <font>
      <b/>
      <sz val="12"/>
      <color rgb="FF000000"/>
      <name val="Gill Sans MT"/>
      <family val="2"/>
    </font>
    <font>
      <b/>
      <sz val="14"/>
      <color rgb="FF000000"/>
      <name val="Gill Sans MT"/>
      <family val="2"/>
    </font>
    <font>
      <b/>
      <sz val="11"/>
      <color rgb="FF000000"/>
      <name val="Gill Sans MT"/>
      <family val="2"/>
    </font>
    <font>
      <sz val="12"/>
      <color rgb="FF000000"/>
      <name val="Gill Sans MT"/>
      <family val="2"/>
    </font>
    <font>
      <sz val="14"/>
      <color rgb="FF000000"/>
      <name val="Gill Sans MT"/>
      <family val="2"/>
    </font>
    <font>
      <sz val="11"/>
      <color rgb="FF000000"/>
      <name val="Calibri"/>
      <family val="2"/>
      <scheme val="minor"/>
    </font>
    <font>
      <b/>
      <sz val="11"/>
      <color rgb="FF000000"/>
      <name val="Calibri"/>
      <family val="2"/>
      <scheme val="minor"/>
    </font>
    <font>
      <b/>
      <sz val="12"/>
      <color theme="1"/>
      <name val="Times New Roman"/>
      <family val="1"/>
    </font>
    <font>
      <sz val="10"/>
      <color rgb="FF000000"/>
      <name val="Times New Roman"/>
      <family val="1"/>
    </font>
    <font>
      <b/>
      <sz val="12"/>
      <name val="Times New Roman"/>
      <family val="1"/>
    </font>
    <font>
      <sz val="12"/>
      <color theme="1"/>
      <name val="Times New Roman"/>
      <family val="1"/>
    </font>
    <font>
      <b/>
      <sz val="11"/>
      <color theme="1"/>
      <name val="Arial Narrow"/>
      <family val="2"/>
    </font>
    <font>
      <b/>
      <i/>
      <sz val="11"/>
      <color theme="1"/>
      <name val="Calibri"/>
      <family val="2"/>
      <scheme val="minor"/>
    </font>
    <font>
      <sz val="11"/>
      <color theme="1"/>
      <name val="Arial Narrow"/>
      <family val="2"/>
    </font>
    <font>
      <b/>
      <sz val="11"/>
      <color theme="1"/>
      <name val="Times New Roman"/>
      <family val="1"/>
    </font>
    <font>
      <b/>
      <sz val="12"/>
      <color theme="1"/>
      <name val="Arial Narrow"/>
      <family val="2"/>
    </font>
    <font>
      <b/>
      <sz val="12"/>
      <color theme="1"/>
      <name val="Calibri Light"/>
      <family val="2"/>
      <scheme val="major"/>
    </font>
    <font>
      <b/>
      <sz val="11"/>
      <name val="Arial"/>
      <family val="2"/>
    </font>
  </fonts>
  <fills count="14">
    <fill>
      <patternFill patternType="none"/>
    </fill>
    <fill>
      <patternFill patternType="gray125"/>
    </fill>
    <fill>
      <patternFill patternType="solid">
        <fgColor theme="5" tint="0.59999389629810485"/>
        <bgColor indexed="64"/>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rgb="FFF8CBAD"/>
        <bgColor rgb="FF000000"/>
      </patternFill>
    </fill>
    <fill>
      <patternFill patternType="solid">
        <fgColor rgb="FFE2EFDA"/>
        <bgColor rgb="FF000000"/>
      </patternFill>
    </fill>
    <fill>
      <patternFill patternType="solid">
        <fgColor rgb="FFD9E1F2"/>
        <bgColor rgb="FF000000"/>
      </patternFill>
    </fill>
    <fill>
      <patternFill patternType="solid">
        <fgColor rgb="FFFFC000"/>
        <bgColor indexed="64"/>
      </patternFill>
    </fill>
  </fills>
  <borders count="45">
    <border>
      <left/>
      <right/>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indexed="64"/>
      </right>
      <top/>
      <bottom style="medium">
        <color indexed="64"/>
      </bottom>
      <diagonal/>
    </border>
    <border>
      <left style="thin">
        <color indexed="64"/>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thin">
        <color auto="1"/>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bottom style="thick">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s>
  <cellStyleXfs count="5">
    <xf numFmtId="0" fontId="0" fillId="0" borderId="0"/>
    <xf numFmtId="43" fontId="1" fillId="0" borderId="0" applyFont="0" applyFill="0" applyBorder="0" applyAlignment="0" applyProtection="0"/>
    <xf numFmtId="164" fontId="1" fillId="0" borderId="0" applyFont="0" applyFill="0" applyBorder="0" applyAlignment="0" applyProtection="0"/>
    <xf numFmtId="44" fontId="1" fillId="0" borderId="0" applyFont="0" applyFill="0" applyBorder="0" applyAlignment="0" applyProtection="0"/>
    <xf numFmtId="0" fontId="37" fillId="0" borderId="0"/>
  </cellStyleXfs>
  <cellXfs count="277">
    <xf numFmtId="0" fontId="0" fillId="0" borderId="0" xfId="0"/>
    <xf numFmtId="0" fontId="3" fillId="2" borderId="1" xfId="0" applyFont="1" applyFill="1" applyBorder="1" applyAlignment="1">
      <alignment horizontal="left"/>
    </xf>
    <xf numFmtId="0" fontId="3" fillId="2" borderId="5" xfId="0" applyFont="1" applyFill="1" applyBorder="1"/>
    <xf numFmtId="0" fontId="4" fillId="3" borderId="6" xfId="0" applyFont="1" applyFill="1" applyBorder="1" applyAlignment="1">
      <alignment horizontal="center" vertical="center" wrapText="1"/>
    </xf>
    <xf numFmtId="0" fontId="4" fillId="3" borderId="7" xfId="0" applyFont="1" applyFill="1" applyBorder="1" applyAlignment="1">
      <alignment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vertical="center" wrapText="1"/>
    </xf>
    <xf numFmtId="0" fontId="3" fillId="4" borderId="10" xfId="0" applyFont="1" applyFill="1" applyBorder="1" applyAlignment="1">
      <alignment horizontal="center" vertical="center" wrapText="1"/>
    </xf>
    <xf numFmtId="43" fontId="5" fillId="4" borderId="11" xfId="1" applyFont="1" applyFill="1" applyBorder="1" applyAlignment="1">
      <alignment horizontal="center" vertical="center"/>
    </xf>
    <xf numFmtId="0" fontId="0" fillId="0" borderId="11" xfId="0" applyBorder="1" applyAlignment="1">
      <alignment horizontal="center" vertical="center"/>
    </xf>
    <xf numFmtId="0" fontId="5" fillId="0" borderId="11" xfId="0" applyFont="1" applyBorder="1" applyAlignment="1">
      <alignment vertical="center" wrapText="1"/>
    </xf>
    <xf numFmtId="0" fontId="5" fillId="0" borderId="11" xfId="0" applyFont="1" applyBorder="1" applyAlignment="1">
      <alignment horizontal="center" vertical="center"/>
    </xf>
    <xf numFmtId="43" fontId="5" fillId="0" borderId="11" xfId="1" applyFont="1" applyBorder="1" applyAlignment="1">
      <alignment horizontal="center" vertical="center"/>
    </xf>
    <xf numFmtId="0" fontId="7" fillId="0" borderId="11" xfId="0" applyFont="1" applyBorder="1" applyAlignment="1">
      <alignment horizontal="center" vertical="center"/>
    </xf>
    <xf numFmtId="0" fontId="5" fillId="0" borderId="11" xfId="0" applyFont="1" applyBorder="1" applyAlignment="1">
      <alignment horizontal="center" vertical="center" wrapText="1"/>
    </xf>
    <xf numFmtId="43" fontId="5" fillId="0" borderId="11" xfId="1" applyFont="1" applyFill="1" applyBorder="1" applyAlignment="1">
      <alignment horizontal="center" vertical="center"/>
    </xf>
    <xf numFmtId="0" fontId="8" fillId="5" borderId="11" xfId="0" applyFont="1" applyFill="1" applyBorder="1" applyAlignment="1">
      <alignment vertical="center" wrapText="1"/>
    </xf>
    <xf numFmtId="0" fontId="9" fillId="5" borderId="11" xfId="0" applyFont="1" applyFill="1" applyBorder="1" applyAlignment="1">
      <alignment horizontal="center" vertical="center" wrapText="1"/>
    </xf>
    <xf numFmtId="0" fontId="0" fillId="5" borderId="11" xfId="0" applyFill="1" applyBorder="1" applyAlignment="1">
      <alignment vertical="center" wrapText="1"/>
    </xf>
    <xf numFmtId="0" fontId="0" fillId="5" borderId="12" xfId="0" applyFill="1" applyBorder="1" applyAlignment="1">
      <alignment vertical="center" wrapText="1"/>
    </xf>
    <xf numFmtId="0" fontId="10" fillId="6" borderId="11" xfId="0" applyFont="1" applyFill="1" applyBorder="1" applyAlignment="1">
      <alignment horizontal="center" vertical="center"/>
    </xf>
    <xf numFmtId="43" fontId="11" fillId="6" borderId="11" xfId="1" applyFont="1" applyFill="1" applyBorder="1" applyAlignment="1">
      <alignment horizontal="center" vertical="center"/>
    </xf>
    <xf numFmtId="0" fontId="2" fillId="4" borderId="11" xfId="0" applyFont="1" applyFill="1" applyBorder="1" applyAlignment="1">
      <alignment horizontal="center" vertical="center"/>
    </xf>
    <xf numFmtId="0" fontId="2" fillId="4" borderId="11" xfId="0" applyFont="1" applyFill="1" applyBorder="1" applyAlignment="1">
      <alignment vertical="center" wrapText="1"/>
    </xf>
    <xf numFmtId="0" fontId="12" fillId="4" borderId="11" xfId="0" applyFont="1" applyFill="1" applyBorder="1" applyAlignment="1">
      <alignment horizontal="center" vertical="center"/>
    </xf>
    <xf numFmtId="43" fontId="12" fillId="4" borderId="11" xfId="1" applyFont="1" applyFill="1" applyBorder="1" applyAlignment="1">
      <alignment horizontal="center" vertical="center"/>
    </xf>
    <xf numFmtId="0" fontId="13" fillId="0" borderId="11" xfId="0" applyFont="1" applyBorder="1" applyAlignment="1">
      <alignment horizontal="center" vertical="center"/>
    </xf>
    <xf numFmtId="0" fontId="5" fillId="5" borderId="11" xfId="0" applyFont="1" applyFill="1" applyBorder="1" applyAlignment="1">
      <alignment horizontal="center" vertical="center"/>
    </xf>
    <xf numFmtId="0" fontId="0" fillId="5" borderId="11" xfId="0" applyFill="1" applyBorder="1" applyAlignment="1">
      <alignment horizontal="center" vertical="center"/>
    </xf>
    <xf numFmtId="0" fontId="5" fillId="5" borderId="12" xfId="0" applyFont="1" applyFill="1" applyBorder="1" applyAlignment="1">
      <alignment vertical="center" wrapText="1"/>
    </xf>
    <xf numFmtId="0" fontId="7" fillId="5" borderId="11" xfId="0" applyFont="1" applyFill="1" applyBorder="1" applyAlignment="1">
      <alignment horizontal="center" vertical="center"/>
    </xf>
    <xf numFmtId="0" fontId="5" fillId="5" borderId="11" xfId="0" applyFont="1" applyFill="1" applyBorder="1" applyAlignment="1">
      <alignment vertical="center" wrapText="1"/>
    </xf>
    <xf numFmtId="0" fontId="2" fillId="6" borderId="11" xfId="0" applyFont="1" applyFill="1" applyBorder="1" applyAlignment="1">
      <alignment horizontal="center" vertical="center"/>
    </xf>
    <xf numFmtId="43" fontId="12" fillId="6" borderId="11" xfId="1" applyFont="1" applyFill="1" applyBorder="1" applyAlignment="1">
      <alignment horizontal="center" vertical="center"/>
    </xf>
    <xf numFmtId="0" fontId="2" fillId="0" borderId="11" xfId="0" applyFont="1" applyBorder="1" applyAlignment="1">
      <alignment horizontal="center" vertic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5" xfId="0" applyFont="1" applyBorder="1" applyAlignment="1">
      <alignment horizontal="center" vertical="center" wrapText="1"/>
    </xf>
    <xf numFmtId="43" fontId="12" fillId="0" borderId="11" xfId="1" applyFont="1" applyBorder="1" applyAlignment="1">
      <alignment horizontal="center" vertical="center"/>
    </xf>
    <xf numFmtId="0" fontId="2" fillId="5" borderId="11" xfId="0" applyFont="1" applyFill="1" applyBorder="1" applyAlignment="1">
      <alignment horizontal="center" vertical="center"/>
    </xf>
    <xf numFmtId="0" fontId="12" fillId="5" borderId="12"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12" fillId="5" borderId="15" xfId="0" applyFont="1" applyFill="1" applyBorder="1" applyAlignment="1">
      <alignment horizontal="center" vertical="center" wrapText="1"/>
    </xf>
    <xf numFmtId="2" fontId="12" fillId="5" borderId="11" xfId="1" applyNumberFormat="1" applyFont="1" applyFill="1" applyBorder="1" applyAlignment="1">
      <alignment horizontal="center" vertical="center"/>
    </xf>
    <xf numFmtId="0" fontId="5" fillId="5" borderId="11" xfId="0" applyFont="1" applyFill="1" applyBorder="1" applyAlignment="1">
      <alignment horizontal="center" vertical="center" wrapText="1"/>
    </xf>
    <xf numFmtId="0" fontId="5" fillId="0" borderId="15" xfId="0" applyFont="1" applyBorder="1" applyAlignment="1">
      <alignment horizontal="center" vertical="center" wrapText="1"/>
    </xf>
    <xf numFmtId="0" fontId="14" fillId="4" borderId="11" xfId="0" applyFont="1" applyFill="1" applyBorder="1" applyAlignment="1">
      <alignment horizontal="left" vertical="center"/>
    </xf>
    <xf numFmtId="0" fontId="15" fillId="4" borderId="11" xfId="0" applyFont="1" applyFill="1" applyBorder="1"/>
    <xf numFmtId="0" fontId="15" fillId="4" borderId="11" xfId="0" applyFont="1" applyFill="1" applyBorder="1" applyAlignment="1">
      <alignment horizontal="center"/>
    </xf>
    <xf numFmtId="2" fontId="5" fillId="4" borderId="15" xfId="0" applyNumberFormat="1" applyFont="1" applyFill="1" applyBorder="1" applyAlignment="1">
      <alignment horizontal="center" vertical="center" wrapText="1"/>
    </xf>
    <xf numFmtId="2" fontId="12" fillId="4" borderId="11" xfId="1" applyNumberFormat="1" applyFont="1" applyFill="1" applyBorder="1" applyAlignment="1">
      <alignment horizontal="center" vertical="center"/>
    </xf>
    <xf numFmtId="0" fontId="15" fillId="0" borderId="0" xfId="0" applyFont="1" applyAlignment="1">
      <alignment vertical="center" wrapText="1"/>
    </xf>
    <xf numFmtId="0" fontId="15" fillId="0" borderId="16" xfId="0" applyFont="1" applyBorder="1" applyAlignment="1">
      <alignment horizontal="center" vertical="center"/>
    </xf>
    <xf numFmtId="2" fontId="15" fillId="0" borderId="16" xfId="0" applyNumberFormat="1" applyFont="1" applyBorder="1" applyAlignment="1">
      <alignment horizontal="center" vertical="center"/>
    </xf>
    <xf numFmtId="2" fontId="5" fillId="0" borderId="11" xfId="0" applyNumberFormat="1" applyFont="1" applyBorder="1" applyAlignment="1">
      <alignment horizontal="center" vertical="center" wrapText="1"/>
    </xf>
    <xf numFmtId="2" fontId="5" fillId="0" borderId="11" xfId="1" applyNumberFormat="1" applyFont="1" applyBorder="1" applyAlignment="1">
      <alignment horizontal="center" vertical="center"/>
    </xf>
    <xf numFmtId="2" fontId="12" fillId="6" borderId="11" xfId="1" applyNumberFormat="1" applyFont="1" applyFill="1" applyBorder="1" applyAlignment="1">
      <alignment horizontal="center" vertical="center"/>
    </xf>
    <xf numFmtId="43" fontId="7" fillId="0" borderId="11" xfId="1" applyFont="1" applyBorder="1" applyAlignment="1">
      <alignment horizontal="left" vertical="center"/>
    </xf>
    <xf numFmtId="0" fontId="16" fillId="7" borderId="17" xfId="0" applyFont="1" applyFill="1" applyBorder="1" applyAlignment="1">
      <alignment horizontal="center" vertical="center"/>
    </xf>
    <xf numFmtId="43" fontId="17" fillId="7" borderId="21" xfId="0" applyNumberFormat="1" applyFont="1" applyFill="1" applyBorder="1"/>
    <xf numFmtId="0" fontId="0" fillId="8" borderId="0" xfId="0" applyFill="1" applyAlignment="1">
      <alignment horizontal="center"/>
    </xf>
    <xf numFmtId="0" fontId="0" fillId="8" borderId="0" xfId="0" applyFont="1" applyFill="1" applyAlignment="1">
      <alignment wrapText="1"/>
    </xf>
    <xf numFmtId="0" fontId="0" fillId="8" borderId="0" xfId="0" applyFont="1" applyFill="1" applyAlignment="1">
      <alignment horizontal="center" vertical="center"/>
    </xf>
    <xf numFmtId="0" fontId="0" fillId="8" borderId="0" xfId="0" applyFont="1" applyFill="1"/>
    <xf numFmtId="0" fontId="2" fillId="8" borderId="0" xfId="0" applyFont="1" applyFill="1" applyAlignment="1">
      <alignment horizontal="center"/>
    </xf>
    <xf numFmtId="0" fontId="0" fillId="8" borderId="0" xfId="0" applyFont="1" applyFill="1" applyAlignment="1">
      <alignment horizontal="right" vertical="center" wrapText="1"/>
    </xf>
    <xf numFmtId="2" fontId="5" fillId="4" borderId="11" xfId="0" applyNumberFormat="1" applyFont="1" applyFill="1" applyBorder="1" applyAlignment="1">
      <alignment horizontal="center" vertical="center"/>
    </xf>
    <xf numFmtId="0" fontId="18" fillId="0" borderId="11" xfId="0" applyFont="1" applyBorder="1" applyAlignment="1">
      <alignment horizontal="center" vertical="center"/>
    </xf>
    <xf numFmtId="2" fontId="0" fillId="0" borderId="11" xfId="0" applyNumberFormat="1" applyBorder="1" applyAlignment="1">
      <alignment horizontal="center" vertical="center"/>
    </xf>
    <xf numFmtId="0" fontId="15" fillId="0" borderId="11" xfId="0" applyFont="1" applyBorder="1" applyAlignment="1">
      <alignment horizontal="center" vertical="center"/>
    </xf>
    <xf numFmtId="2" fontId="13" fillId="0" borderId="11" xfId="0" applyNumberFormat="1" applyFont="1" applyBorder="1" applyAlignment="1">
      <alignment horizontal="center" vertical="center"/>
    </xf>
    <xf numFmtId="4" fontId="0" fillId="0" borderId="11" xfId="0" applyNumberFormat="1" applyBorder="1" applyAlignment="1">
      <alignment horizontal="center" vertical="center"/>
    </xf>
    <xf numFmtId="4" fontId="5" fillId="0" borderId="11" xfId="0" applyNumberFormat="1" applyFont="1" applyBorder="1" applyAlignment="1">
      <alignment horizontal="center" vertical="center"/>
    </xf>
    <xf numFmtId="2" fontId="15" fillId="0" borderId="0" xfId="0" applyNumberFormat="1" applyFont="1" applyBorder="1" applyAlignment="1">
      <alignment horizontal="center" vertical="center"/>
    </xf>
    <xf numFmtId="0" fontId="0" fillId="0" borderId="11" xfId="0" applyBorder="1" applyAlignment="1">
      <alignment horizontal="left" vertical="center" wrapText="1"/>
    </xf>
    <xf numFmtId="0" fontId="0" fillId="0" borderId="11" xfId="0" applyBorder="1" applyAlignment="1">
      <alignment horizontal="center" vertical="center" wrapText="1"/>
    </xf>
    <xf numFmtId="2" fontId="1" fillId="0" borderId="11" xfId="2" applyNumberFormat="1" applyFont="1" applyFill="1" applyBorder="1" applyAlignment="1">
      <alignment horizontal="center" vertical="center" wrapText="1"/>
    </xf>
    <xf numFmtId="0" fontId="0" fillId="5" borderId="11" xfId="0" applyFont="1" applyFill="1" applyBorder="1" applyAlignment="1">
      <alignment vertical="center" wrapText="1"/>
    </xf>
    <xf numFmtId="0" fontId="19" fillId="5" borderId="11" xfId="0" applyFont="1" applyFill="1" applyBorder="1" applyAlignment="1">
      <alignment horizontal="center" vertical="center"/>
    </xf>
    <xf numFmtId="0" fontId="19" fillId="5" borderId="11" xfId="0" applyFont="1" applyFill="1" applyBorder="1" applyAlignment="1">
      <alignment vertical="center"/>
    </xf>
    <xf numFmtId="2" fontId="19" fillId="5" borderId="11" xfId="0" applyNumberFormat="1" applyFont="1" applyFill="1" applyBorder="1" applyAlignment="1">
      <alignment horizontal="center" vertical="center"/>
    </xf>
    <xf numFmtId="0" fontId="10" fillId="2" borderId="1" xfId="0" applyFont="1" applyFill="1" applyBorder="1" applyAlignment="1">
      <alignment horizontal="left"/>
    </xf>
    <xf numFmtId="0" fontId="10" fillId="2" borderId="5" xfId="0" applyFont="1" applyFill="1" applyBorder="1"/>
    <xf numFmtId="0" fontId="2" fillId="3" borderId="6" xfId="0" applyFont="1" applyFill="1" applyBorder="1" applyAlignment="1">
      <alignment horizontal="center" vertical="center" wrapText="1"/>
    </xf>
    <xf numFmtId="0" fontId="2" fillId="3" borderId="7" xfId="0" applyFont="1" applyFill="1" applyBorder="1" applyAlignment="1">
      <alignment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vertical="center" wrapText="1"/>
    </xf>
    <xf numFmtId="0" fontId="12" fillId="4" borderId="11" xfId="0" applyFont="1" applyFill="1" applyBorder="1" applyAlignment="1">
      <alignment horizontal="left" vertical="center" wrapText="1"/>
    </xf>
    <xf numFmtId="0" fontId="12" fillId="4" borderId="11" xfId="0" applyFont="1" applyFill="1" applyBorder="1" applyAlignment="1">
      <alignment horizontal="center" vertical="center" wrapText="1"/>
    </xf>
    <xf numFmtId="2" fontId="5" fillId="4" borderId="11" xfId="0" applyNumberFormat="1" applyFont="1" applyFill="1" applyBorder="1" applyAlignment="1">
      <alignment horizontal="center" vertical="center" wrapText="1"/>
    </xf>
    <xf numFmtId="0" fontId="12" fillId="0" borderId="11" xfId="0" applyFont="1" applyBorder="1" applyAlignment="1">
      <alignment horizontal="center" vertical="center"/>
    </xf>
    <xf numFmtId="49" fontId="20" fillId="0" borderId="11" xfId="0" applyNumberFormat="1" applyFont="1" applyBorder="1" applyAlignment="1">
      <alignment horizontal="justify" vertical="top" wrapText="1"/>
    </xf>
    <xf numFmtId="2" fontId="5" fillId="0" borderId="11" xfId="0" applyNumberFormat="1" applyFont="1" applyBorder="1" applyAlignment="1">
      <alignment horizontal="center" vertical="center"/>
    </xf>
    <xf numFmtId="0" fontId="21" fillId="0" borderId="11" xfId="0" applyFont="1" applyBorder="1" applyAlignment="1">
      <alignment vertical="center" wrapText="1"/>
    </xf>
    <xf numFmtId="0" fontId="5" fillId="0" borderId="11" xfId="0" applyFont="1" applyBorder="1" applyAlignment="1">
      <alignment horizontal="left" vertical="center" wrapText="1"/>
    </xf>
    <xf numFmtId="0" fontId="0" fillId="0" borderId="11" xfId="0" applyFont="1" applyBorder="1" applyAlignment="1">
      <alignment horizontal="center" vertical="center" wrapText="1"/>
    </xf>
    <xf numFmtId="2" fontId="22" fillId="0" borderId="11" xfId="0" applyNumberFormat="1" applyFont="1" applyBorder="1" applyAlignment="1">
      <alignment horizontal="center" vertical="center"/>
    </xf>
    <xf numFmtId="2" fontId="0" fillId="0" borderId="11" xfId="0" applyNumberFormat="1" applyFont="1" applyBorder="1" applyAlignment="1">
      <alignment horizontal="center" vertical="center"/>
    </xf>
    <xf numFmtId="0" fontId="12" fillId="0" borderId="11" xfId="0" applyFont="1" applyBorder="1" applyAlignment="1">
      <alignment vertical="center" wrapText="1"/>
    </xf>
    <xf numFmtId="165" fontId="0" fillId="0" borderId="11" xfId="0" applyNumberFormat="1" applyFont="1" applyBorder="1" applyAlignment="1">
      <alignment horizontal="center" vertical="center"/>
    </xf>
    <xf numFmtId="0" fontId="23" fillId="0" borderId="11" xfId="0" applyFont="1" applyBorder="1" applyAlignment="1">
      <alignment vertical="center" wrapText="1"/>
    </xf>
    <xf numFmtId="4" fontId="0" fillId="0" borderId="11" xfId="0" applyNumberFormat="1" applyFont="1" applyBorder="1" applyAlignment="1">
      <alignment horizontal="center" vertical="center"/>
    </xf>
    <xf numFmtId="0" fontId="0" fillId="0" borderId="11" xfId="0" applyFont="1" applyBorder="1" applyAlignment="1">
      <alignment vertical="center" wrapText="1"/>
    </xf>
    <xf numFmtId="0" fontId="24" fillId="0" borderId="11" xfId="0" applyFont="1" applyBorder="1" applyAlignment="1">
      <alignment horizontal="center" vertical="center"/>
    </xf>
    <xf numFmtId="0" fontId="12" fillId="0" borderId="11" xfId="0" applyFont="1" applyBorder="1" applyAlignment="1">
      <alignment vertical="center"/>
    </xf>
    <xf numFmtId="0" fontId="20" fillId="0" borderId="11" xfId="0" applyFont="1" applyBorder="1" applyAlignment="1">
      <alignment vertical="center" wrapText="1"/>
    </xf>
    <xf numFmtId="0" fontId="23" fillId="0" borderId="11" xfId="0" applyFont="1" applyBorder="1"/>
    <xf numFmtId="0" fontId="0" fillId="0" borderId="11" xfId="0" applyFont="1" applyBorder="1"/>
    <xf numFmtId="0" fontId="25" fillId="0" borderId="11" xfId="0" applyFont="1" applyBorder="1" applyAlignment="1">
      <alignment horizontal="center" vertical="center"/>
    </xf>
    <xf numFmtId="0" fontId="0" fillId="0" borderId="11" xfId="0" applyFont="1" applyBorder="1" applyAlignment="1">
      <alignment wrapText="1"/>
    </xf>
    <xf numFmtId="0" fontId="15" fillId="0" borderId="11" xfId="0" applyFont="1" applyBorder="1"/>
    <xf numFmtId="0" fontId="0" fillId="0" borderId="11" xfId="0" applyBorder="1"/>
    <xf numFmtId="49" fontId="5" fillId="0" borderId="11" xfId="0" applyNumberFormat="1" applyFont="1" applyBorder="1" applyAlignment="1">
      <alignment horizontal="justify" vertical="top" wrapText="1"/>
    </xf>
    <xf numFmtId="0" fontId="24" fillId="9" borderId="11" xfId="0" applyFont="1" applyFill="1" applyBorder="1" applyAlignment="1">
      <alignment vertical="center"/>
    </xf>
    <xf numFmtId="2" fontId="2" fillId="9" borderId="11" xfId="1" applyNumberFormat="1" applyFont="1" applyFill="1" applyBorder="1" applyAlignment="1">
      <alignment horizontal="center" vertical="center"/>
    </xf>
    <xf numFmtId="0" fontId="24" fillId="5" borderId="11" xfId="0" applyFont="1" applyFill="1" applyBorder="1" applyAlignment="1">
      <alignment vertical="center"/>
    </xf>
    <xf numFmtId="0" fontId="12" fillId="5" borderId="11" xfId="0" applyFont="1" applyFill="1" applyBorder="1" applyAlignment="1">
      <alignment horizontal="center" vertical="center"/>
    </xf>
    <xf numFmtId="2" fontId="2" fillId="5" borderId="11" xfId="1" applyNumberFormat="1" applyFont="1" applyFill="1" applyBorder="1" applyAlignment="1">
      <alignment horizontal="center" vertical="center"/>
    </xf>
    <xf numFmtId="0" fontId="0" fillId="5" borderId="11" xfId="0" applyFill="1" applyBorder="1"/>
    <xf numFmtId="0" fontId="0" fillId="5" borderId="11" xfId="0" applyFont="1" applyFill="1" applyBorder="1"/>
    <xf numFmtId="2" fontId="0" fillId="0" borderId="11" xfId="2" applyNumberFormat="1" applyFont="1" applyFill="1" applyBorder="1" applyAlignment="1">
      <alignment horizontal="center" vertical="center" wrapText="1"/>
    </xf>
    <xf numFmtId="0" fontId="0" fillId="5" borderId="11" xfId="0" applyFill="1" applyBorder="1" applyAlignment="1">
      <alignment wrapText="1"/>
    </xf>
    <xf numFmtId="0" fontId="0" fillId="5" borderId="11" xfId="0" applyFill="1" applyBorder="1" applyAlignment="1">
      <alignment vertical="center"/>
    </xf>
    <xf numFmtId="2" fontId="0" fillId="5" borderId="11" xfId="0" applyNumberFormat="1" applyFill="1" applyBorder="1" applyAlignment="1">
      <alignment horizontal="center" vertical="center"/>
    </xf>
    <xf numFmtId="0" fontId="12" fillId="5" borderId="14" xfId="0" applyFont="1" applyFill="1" applyBorder="1" applyAlignment="1">
      <alignment horizontal="center" vertical="center" wrapText="1"/>
    </xf>
    <xf numFmtId="43" fontId="12" fillId="5" borderId="11" xfId="1" applyFont="1" applyFill="1" applyBorder="1" applyAlignment="1">
      <alignment horizontal="center" vertical="center"/>
    </xf>
    <xf numFmtId="0" fontId="26" fillId="4" borderId="11" xfId="0" applyFont="1" applyFill="1" applyBorder="1" applyAlignment="1">
      <alignment horizontal="left" vertical="center"/>
    </xf>
    <xf numFmtId="0" fontId="0" fillId="4" borderId="11" xfId="0" applyFont="1" applyFill="1" applyBorder="1"/>
    <xf numFmtId="0" fontId="0" fillId="4" borderId="11" xfId="0" applyFont="1" applyFill="1" applyBorder="1" applyAlignment="1">
      <alignment horizontal="center"/>
    </xf>
    <xf numFmtId="0" fontId="0" fillId="0" borderId="0" xfId="0" applyFont="1" applyAlignment="1">
      <alignment vertical="center" wrapText="1"/>
    </xf>
    <xf numFmtId="0" fontId="0" fillId="0" borderId="16" xfId="0" applyFont="1" applyBorder="1" applyAlignment="1">
      <alignment horizontal="center" vertical="center"/>
    </xf>
    <xf numFmtId="2" fontId="0" fillId="0" borderId="16" xfId="0" applyNumberFormat="1" applyFont="1" applyBorder="1" applyAlignment="1">
      <alignment horizontal="center" vertical="center"/>
    </xf>
    <xf numFmtId="0" fontId="0" fillId="0" borderId="11" xfId="0" applyFont="1" applyBorder="1" applyAlignment="1">
      <alignment horizontal="center" vertical="center"/>
    </xf>
    <xf numFmtId="0" fontId="28" fillId="10" borderId="2" xfId="0" applyFont="1" applyFill="1" applyBorder="1" applyAlignment="1">
      <alignment vertical="center"/>
    </xf>
    <xf numFmtId="0" fontId="28" fillId="10" borderId="3" xfId="0" applyFont="1" applyFill="1" applyBorder="1"/>
    <xf numFmtId="0" fontId="28" fillId="10" borderId="4" xfId="0" applyFont="1" applyFill="1" applyBorder="1"/>
    <xf numFmtId="0" fontId="29" fillId="10" borderId="31" xfId="0" applyFont="1" applyFill="1" applyBorder="1" applyAlignment="1">
      <alignment horizontal="left" vertical="center"/>
    </xf>
    <xf numFmtId="0" fontId="29" fillId="10" borderId="32" xfId="0" applyFont="1" applyFill="1" applyBorder="1" applyAlignment="1">
      <alignment horizontal="left"/>
    </xf>
    <xf numFmtId="0" fontId="29" fillId="10" borderId="5" xfId="0" applyFont="1" applyFill="1" applyBorder="1"/>
    <xf numFmtId="0" fontId="29" fillId="11" borderId="33" xfId="0" applyFont="1" applyFill="1" applyBorder="1" applyAlignment="1">
      <alignment vertical="center" wrapText="1"/>
    </xf>
    <xf numFmtId="0" fontId="29" fillId="11" borderId="34" xfId="0" applyFont="1" applyFill="1" applyBorder="1" applyAlignment="1">
      <alignment vertical="center" wrapText="1"/>
    </xf>
    <xf numFmtId="0" fontId="29" fillId="11" borderId="35" xfId="0" applyFont="1" applyFill="1" applyBorder="1" applyAlignment="1">
      <alignment vertical="center" wrapText="1"/>
    </xf>
    <xf numFmtId="0" fontId="32" fillId="0" borderId="36" xfId="0" applyFont="1" applyBorder="1" applyAlignment="1">
      <alignment horizontal="center" vertical="center" wrapText="1"/>
    </xf>
    <xf numFmtId="0" fontId="33" fillId="0" borderId="16" xfId="0" applyFont="1" applyBorder="1" applyAlignment="1">
      <alignment vertical="center" wrapText="1"/>
    </xf>
    <xf numFmtId="0" fontId="32" fillId="0" borderId="37" xfId="0" applyFont="1" applyBorder="1" applyAlignment="1">
      <alignment horizontal="center" vertical="center" wrapText="1"/>
    </xf>
    <xf numFmtId="0" fontId="34" fillId="0" borderId="0" xfId="0" applyFont="1"/>
    <xf numFmtId="0" fontId="35" fillId="0" borderId="0" xfId="0" applyFont="1" applyAlignment="1">
      <alignment horizontal="right" vertical="center"/>
    </xf>
    <xf numFmtId="0" fontId="33" fillId="0" borderId="11" xfId="0" applyFont="1" applyBorder="1" applyAlignment="1">
      <alignment vertical="center" wrapText="1"/>
    </xf>
    <xf numFmtId="0" fontId="33" fillId="0" borderId="30" xfId="0" applyFont="1" applyBorder="1" applyAlignment="1">
      <alignment vertical="center" wrapText="1"/>
    </xf>
    <xf numFmtId="0" fontId="40" fillId="0" borderId="16" xfId="0" applyFont="1" applyBorder="1" applyAlignment="1">
      <alignment horizontal="center" vertical="center"/>
    </xf>
    <xf numFmtId="0" fontId="41" fillId="0" borderId="16" xfId="0" applyFont="1" applyBorder="1" applyAlignment="1">
      <alignment horizontal="left" vertical="top" wrapText="1"/>
    </xf>
    <xf numFmtId="0" fontId="42" fillId="0" borderId="11" xfId="0" applyFont="1" applyBorder="1" applyAlignment="1">
      <alignment horizontal="center" vertical="center"/>
    </xf>
    <xf numFmtId="44" fontId="42" fillId="0" borderId="11" xfId="3" applyFont="1" applyBorder="1" applyAlignment="1" applyProtection="1">
      <alignment horizontal="center" vertical="center"/>
      <protection locked="0"/>
    </xf>
    <xf numFmtId="44" fontId="42" fillId="0" borderId="11" xfId="3" applyFont="1" applyBorder="1" applyAlignment="1" applyProtection="1">
      <alignment horizontal="center" vertical="center"/>
    </xf>
    <xf numFmtId="0" fontId="18" fillId="0" borderId="11" xfId="4" applyFont="1" applyBorder="1" applyAlignment="1">
      <alignment horizontal="right" vertical="center"/>
    </xf>
    <xf numFmtId="0" fontId="18" fillId="0" borderId="11" xfId="4" applyFont="1" applyBorder="1" applyAlignment="1">
      <alignment horizontal="left" vertical="top" wrapText="1"/>
    </xf>
    <xf numFmtId="0" fontId="15" fillId="0" borderId="11" xfId="0" applyFont="1" applyBorder="1" applyAlignment="1">
      <alignment horizontal="center" vertical="center" wrapText="1"/>
    </xf>
    <xf numFmtId="2" fontId="15" fillId="0" borderId="11" xfId="0" applyNumberFormat="1" applyFont="1" applyBorder="1" applyAlignment="1">
      <alignment horizontal="center" vertical="center" wrapText="1"/>
    </xf>
    <xf numFmtId="44" fontId="15" fillId="0" borderId="11" xfId="3" applyFont="1" applyBorder="1" applyAlignment="1">
      <alignment horizontal="center" vertical="center" wrapText="1"/>
    </xf>
    <xf numFmtId="0" fontId="18" fillId="0" borderId="11" xfId="4" applyFont="1" applyBorder="1" applyAlignment="1">
      <alignment horizontal="left" vertical="center" wrapText="1"/>
    </xf>
    <xf numFmtId="0" fontId="40" fillId="0" borderId="11" xfId="0" applyFont="1" applyBorder="1" applyAlignment="1">
      <alignment horizontal="center" vertical="center"/>
    </xf>
    <xf numFmtId="0" fontId="41" fillId="0" borderId="11" xfId="0" applyFont="1" applyBorder="1" applyAlignment="1">
      <alignment horizontal="left" vertical="top" wrapText="1"/>
    </xf>
    <xf numFmtId="1" fontId="15" fillId="0" borderId="11" xfId="0" applyNumberFormat="1" applyFont="1" applyBorder="1" applyAlignment="1">
      <alignment horizontal="center" vertical="center" wrapText="1"/>
    </xf>
    <xf numFmtId="44" fontId="18" fillId="0" borderId="11" xfId="3" applyFont="1" applyFill="1" applyBorder="1" applyAlignment="1">
      <alignment horizontal="center" vertical="center" wrapText="1"/>
    </xf>
    <xf numFmtId="0" fontId="43" fillId="0" borderId="40" xfId="0" applyFont="1" applyBorder="1" applyAlignment="1">
      <alignment horizontal="center" vertical="center" wrapText="1"/>
    </xf>
    <xf numFmtId="2" fontId="43" fillId="0" borderId="40" xfId="0" applyNumberFormat="1" applyFont="1" applyBorder="1" applyAlignment="1">
      <alignment horizontal="left" vertical="center" wrapText="1"/>
    </xf>
    <xf numFmtId="2" fontId="15" fillId="0" borderId="40" xfId="0" applyNumberFormat="1" applyFont="1" applyBorder="1" applyAlignment="1">
      <alignment horizontal="center" vertical="center" wrapText="1"/>
    </xf>
    <xf numFmtId="43" fontId="15" fillId="0" borderId="40" xfId="1" applyFont="1" applyBorder="1" applyAlignment="1">
      <alignment horizontal="center" vertical="center" wrapText="1"/>
    </xf>
    <xf numFmtId="166" fontId="15" fillId="0" borderId="40" xfId="3" applyNumberFormat="1" applyFont="1" applyBorder="1" applyAlignment="1">
      <alignment horizontal="center" vertical="center"/>
    </xf>
    <xf numFmtId="0" fontId="15" fillId="0" borderId="40" xfId="0" applyFont="1" applyBorder="1" applyAlignment="1">
      <alignment horizontal="left" vertical="center" wrapText="1"/>
    </xf>
    <xf numFmtId="0" fontId="24" fillId="5" borderId="30" xfId="0" applyFont="1" applyFill="1" applyBorder="1" applyAlignment="1">
      <alignment vertical="center"/>
    </xf>
    <xf numFmtId="0" fontId="12" fillId="5" borderId="30" xfId="0" applyFont="1" applyFill="1" applyBorder="1" applyAlignment="1">
      <alignment horizontal="center" vertical="center"/>
    </xf>
    <xf numFmtId="2" fontId="2" fillId="5" borderId="30" xfId="1" applyNumberFormat="1" applyFont="1" applyFill="1" applyBorder="1" applyAlignment="1">
      <alignment horizontal="center" vertical="center"/>
    </xf>
    <xf numFmtId="0" fontId="42" fillId="0" borderId="16" xfId="0" applyFont="1" applyBorder="1" applyAlignment="1">
      <alignment horizontal="center" vertical="center"/>
    </xf>
    <xf numFmtId="44" fontId="42" fillId="0" borderId="16" xfId="3" applyFont="1" applyBorder="1" applyAlignment="1" applyProtection="1">
      <alignment horizontal="center" vertical="center"/>
      <protection locked="0"/>
    </xf>
    <xf numFmtId="44" fontId="42" fillId="0" borderId="16" xfId="3" applyFont="1" applyBorder="1" applyAlignment="1" applyProtection="1">
      <alignment horizontal="center" vertical="center"/>
    </xf>
    <xf numFmtId="0" fontId="36" fillId="4" borderId="11" xfId="0" applyFont="1" applyFill="1" applyBorder="1" applyAlignment="1">
      <alignment horizontal="center"/>
    </xf>
    <xf numFmtId="0" fontId="38" fillId="4" borderId="11" xfId="4" applyFont="1" applyFill="1" applyBorder="1" applyAlignment="1">
      <alignment horizontal="left" vertical="center" wrapText="1"/>
    </xf>
    <xf numFmtId="0" fontId="39" fillId="4" borderId="11" xfId="0" applyFont="1" applyFill="1" applyBorder="1" applyAlignment="1">
      <alignment horizontal="center" vertical="center"/>
    </xf>
    <xf numFmtId="44" fontId="39" fillId="4" borderId="11" xfId="3" applyFont="1" applyFill="1" applyBorder="1" applyAlignment="1">
      <alignment horizontal="center" vertical="center"/>
    </xf>
    <xf numFmtId="0" fontId="39" fillId="4" borderId="11" xfId="0" applyFont="1" applyFill="1" applyBorder="1"/>
    <xf numFmtId="0" fontId="15" fillId="0" borderId="41" xfId="0" applyFont="1" applyBorder="1" applyAlignment="1">
      <alignment horizontal="right" vertical="center" wrapText="1"/>
    </xf>
    <xf numFmtId="2" fontId="15" fillId="0" borderId="41" xfId="0" applyNumberFormat="1" applyFont="1" applyBorder="1" applyAlignment="1">
      <alignment horizontal="left" vertical="center" wrapText="1"/>
    </xf>
    <xf numFmtId="2" fontId="15" fillId="0" borderId="41" xfId="0" applyNumberFormat="1" applyFont="1" applyBorder="1" applyAlignment="1">
      <alignment horizontal="center" vertical="center" wrapText="1"/>
    </xf>
    <xf numFmtId="43" fontId="15" fillId="0" borderId="41" xfId="1" applyFont="1" applyBorder="1" applyAlignment="1">
      <alignment horizontal="center" vertical="center" wrapText="1"/>
    </xf>
    <xf numFmtId="166" fontId="15" fillId="0" borderId="41" xfId="3" applyNumberFormat="1" applyFont="1" applyBorder="1" applyAlignment="1">
      <alignment horizontal="center" vertical="center"/>
    </xf>
    <xf numFmtId="44" fontId="15" fillId="0" borderId="41" xfId="3" applyFont="1" applyBorder="1" applyAlignment="1">
      <alignment horizontal="left" vertical="center" wrapText="1"/>
    </xf>
    <xf numFmtId="0" fontId="0" fillId="5" borderId="16" xfId="0" applyFill="1" applyBorder="1"/>
    <xf numFmtId="0" fontId="0" fillId="5" borderId="16" xfId="0" applyFont="1" applyFill="1" applyBorder="1"/>
    <xf numFmtId="0" fontId="40" fillId="9" borderId="11" xfId="0" applyFont="1" applyFill="1" applyBorder="1" applyAlignment="1">
      <alignment vertical="center"/>
    </xf>
    <xf numFmtId="44" fontId="44" fillId="9" borderId="11" xfId="3" applyFont="1" applyFill="1" applyBorder="1" applyAlignment="1">
      <alignment horizontal="center" vertical="center"/>
    </xf>
    <xf numFmtId="43" fontId="29" fillId="0" borderId="26" xfId="0" applyNumberFormat="1" applyFont="1" applyBorder="1" applyAlignment="1">
      <alignment horizontal="center" vertical="center" wrapText="1"/>
    </xf>
    <xf numFmtId="43" fontId="0" fillId="0" borderId="0" xfId="0" applyNumberFormat="1"/>
    <xf numFmtId="0" fontId="0" fillId="13" borderId="11" xfId="0" applyFill="1" applyBorder="1" applyAlignment="1">
      <alignment horizontal="center" vertical="center"/>
    </xf>
    <xf numFmtId="43" fontId="5" fillId="13" borderId="11" xfId="1" applyFont="1" applyFill="1" applyBorder="1" applyAlignment="1">
      <alignment horizontal="left" vertical="center"/>
    </xf>
    <xf numFmtId="2" fontId="12" fillId="13" borderId="11" xfId="1" applyNumberFormat="1" applyFont="1" applyFill="1" applyBorder="1" applyAlignment="1">
      <alignment horizontal="center" vertical="center"/>
    </xf>
    <xf numFmtId="43" fontId="30" fillId="0" borderId="26" xfId="0" applyNumberFormat="1" applyFont="1" applyBorder="1" applyAlignment="1">
      <alignment horizontal="center" vertical="center" wrapText="1"/>
    </xf>
    <xf numFmtId="44" fontId="11" fillId="5" borderId="11" xfId="3" applyFont="1" applyFill="1" applyBorder="1" applyAlignment="1">
      <alignment horizontal="center" vertical="center"/>
    </xf>
    <xf numFmtId="44" fontId="11" fillId="0" borderId="11" xfId="3" applyFont="1" applyBorder="1" applyAlignment="1">
      <alignment horizontal="left" vertical="center"/>
    </xf>
    <xf numFmtId="44" fontId="17" fillId="7" borderId="21" xfId="3" applyFont="1" applyFill="1" applyBorder="1"/>
    <xf numFmtId="44" fontId="12" fillId="5" borderId="11" xfId="3" applyFont="1" applyFill="1" applyBorder="1" applyAlignment="1">
      <alignment horizontal="center" vertical="center"/>
    </xf>
    <xf numFmtId="43" fontId="29" fillId="0" borderId="38" xfId="0" applyNumberFormat="1" applyFont="1" applyBorder="1" applyAlignment="1">
      <alignment horizontal="center" vertical="center" wrapText="1"/>
    </xf>
    <xf numFmtId="44" fontId="29" fillId="12" borderId="39" xfId="3" applyFont="1" applyFill="1" applyBorder="1" applyAlignment="1">
      <alignment horizontal="center" vertical="center" wrapText="1"/>
    </xf>
    <xf numFmtId="0" fontId="35" fillId="0" borderId="0" xfId="0" applyFont="1" applyAlignment="1">
      <alignment horizontal="center" vertical="center"/>
    </xf>
    <xf numFmtId="0" fontId="30" fillId="10" borderId="2" xfId="0" applyFont="1" applyFill="1" applyBorder="1" applyAlignment="1">
      <alignment horizontal="left" vertical="center" wrapText="1"/>
    </xf>
    <xf numFmtId="0" fontId="30" fillId="10" borderId="4" xfId="0" applyFont="1" applyFill="1" applyBorder="1" applyAlignment="1">
      <alignment horizontal="left" vertical="center" wrapText="1"/>
    </xf>
    <xf numFmtId="0" fontId="30" fillId="10" borderId="2" xfId="0" applyFont="1" applyFill="1" applyBorder="1" applyAlignment="1">
      <alignment horizontal="left"/>
    </xf>
    <xf numFmtId="0" fontId="30" fillId="10" borderId="4" xfId="0" applyFont="1" applyFill="1" applyBorder="1" applyAlignment="1">
      <alignment horizontal="left"/>
    </xf>
    <xf numFmtId="0" fontId="31" fillId="10" borderId="2" xfId="0" applyFont="1" applyFill="1" applyBorder="1" applyAlignment="1">
      <alignment horizontal="left"/>
    </xf>
    <xf numFmtId="0" fontId="31" fillId="10" borderId="4" xfId="0" applyFont="1" applyFill="1" applyBorder="1" applyAlignment="1">
      <alignment horizontal="left"/>
    </xf>
    <xf numFmtId="0" fontId="29" fillId="12" borderId="2" xfId="0" applyFont="1" applyFill="1" applyBorder="1" applyAlignment="1">
      <alignment horizontal="center" vertical="center" wrapText="1"/>
    </xf>
    <xf numFmtId="0" fontId="29" fillId="12" borderId="3" xfId="0" applyFont="1" applyFill="1" applyBorder="1" applyAlignment="1">
      <alignment horizontal="center" vertical="center" wrapText="1"/>
    </xf>
    <xf numFmtId="0" fontId="0" fillId="0" borderId="25" xfId="0" applyFont="1" applyBorder="1" applyAlignment="1">
      <alignment horizontal="center" vertical="center"/>
    </xf>
    <xf numFmtId="0" fontId="0" fillId="0" borderId="11"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6" fillId="4" borderId="12" xfId="0" applyFont="1" applyFill="1" applyBorder="1" applyAlignment="1">
      <alignment horizontal="left" vertical="center"/>
    </xf>
    <xf numFmtId="0" fontId="6" fillId="4" borderId="13" xfId="0" applyFont="1" applyFill="1" applyBorder="1" applyAlignment="1">
      <alignment horizontal="left" vertical="center"/>
    </xf>
    <xf numFmtId="0" fontId="6" fillId="4" borderId="14" xfId="0" applyFont="1" applyFill="1" applyBorder="1" applyAlignment="1">
      <alignment horizontal="left" vertical="center"/>
    </xf>
    <xf numFmtId="0" fontId="11" fillId="6" borderId="12"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14" xfId="0" applyFont="1" applyFill="1" applyBorder="1" applyAlignment="1">
      <alignment horizontal="center" vertical="center" wrapText="1"/>
    </xf>
    <xf numFmtId="0" fontId="27" fillId="7" borderId="42" xfId="0" applyFont="1" applyFill="1" applyBorder="1" applyAlignment="1">
      <alignment horizontal="center" vertical="center"/>
    </xf>
    <xf numFmtId="0" fontId="27" fillId="7" borderId="43" xfId="0" applyFont="1" applyFill="1" applyBorder="1" applyAlignment="1">
      <alignment horizontal="center" vertical="center"/>
    </xf>
    <xf numFmtId="0" fontId="27" fillId="7" borderId="44" xfId="0" applyFont="1" applyFill="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24" xfId="0" applyFont="1" applyBorder="1" applyAlignment="1">
      <alignment horizontal="center" vertical="center"/>
    </xf>
    <xf numFmtId="0" fontId="12" fillId="0" borderId="11" xfId="0" applyFont="1" applyBorder="1" applyAlignment="1">
      <alignment horizontal="left" vertical="center" wrapText="1"/>
    </xf>
    <xf numFmtId="44" fontId="12" fillId="0" borderId="12" xfId="0" applyNumberFormat="1" applyFont="1" applyBorder="1" applyAlignment="1">
      <alignment horizontal="left" vertical="center" wrapText="1"/>
    </xf>
    <xf numFmtId="0" fontId="12" fillId="0" borderId="13" xfId="0" applyFont="1" applyBorder="1" applyAlignment="1">
      <alignment horizontal="left" vertical="center" wrapText="1"/>
    </xf>
    <xf numFmtId="0" fontId="12" fillId="0" borderId="14" xfId="0" applyFont="1" applyBorder="1" applyAlignment="1">
      <alignment horizontal="left" vertical="center" wrapText="1"/>
    </xf>
    <xf numFmtId="0" fontId="12" fillId="13" borderId="11" xfId="0" applyFont="1" applyFill="1" applyBorder="1" applyAlignment="1">
      <alignment horizontal="center" vertical="center" wrapText="1"/>
    </xf>
    <xf numFmtId="44" fontId="45" fillId="9" borderId="12" xfId="3" applyFont="1" applyFill="1" applyBorder="1" applyAlignment="1" applyProtection="1">
      <alignment horizontal="center" vertical="center"/>
      <protection locked="0"/>
    </xf>
    <xf numFmtId="44" fontId="45" fillId="9" borderId="13" xfId="3" applyFont="1" applyFill="1" applyBorder="1" applyAlignment="1" applyProtection="1">
      <alignment horizontal="center" vertical="center"/>
      <protection locked="0"/>
    </xf>
    <xf numFmtId="44" fontId="45" fillId="9" borderId="14" xfId="3" applyFont="1" applyFill="1" applyBorder="1" applyAlignment="1" applyProtection="1">
      <alignment horizontal="center" vertical="center"/>
      <protection locked="0"/>
    </xf>
    <xf numFmtId="0" fontId="10" fillId="2" borderId="2" xfId="0" applyFont="1" applyFill="1" applyBorder="1" applyAlignment="1">
      <alignment horizontal="left"/>
    </xf>
    <xf numFmtId="0" fontId="10" fillId="2" borderId="3" xfId="0" applyFont="1" applyFill="1" applyBorder="1" applyAlignment="1">
      <alignment horizontal="left"/>
    </xf>
    <xf numFmtId="0" fontId="10" fillId="2" borderId="4" xfId="0" applyFont="1" applyFill="1" applyBorder="1" applyAlignment="1">
      <alignment horizontal="left"/>
    </xf>
    <xf numFmtId="0" fontId="12" fillId="9" borderId="12" xfId="0" applyFont="1" applyFill="1" applyBorder="1" applyAlignment="1">
      <alignment horizontal="center" vertical="center"/>
    </xf>
    <xf numFmtId="0" fontId="12" fillId="9" borderId="13" xfId="0" applyFont="1" applyFill="1" applyBorder="1" applyAlignment="1">
      <alignment horizontal="center" vertical="center"/>
    </xf>
    <xf numFmtId="0" fontId="12" fillId="9" borderId="14" xfId="0" applyFont="1" applyFill="1" applyBorder="1" applyAlignment="1">
      <alignment horizontal="center" vertical="center"/>
    </xf>
    <xf numFmtId="0" fontId="12" fillId="6" borderId="12"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46" fillId="7" borderId="18" xfId="0" applyFont="1" applyFill="1" applyBorder="1" applyAlignment="1">
      <alignment horizontal="center" vertical="center"/>
    </xf>
    <xf numFmtId="0" fontId="46" fillId="7" borderId="19" xfId="0" applyFont="1" applyFill="1" applyBorder="1" applyAlignment="1">
      <alignment horizontal="center" vertical="center"/>
    </xf>
    <xf numFmtId="0" fontId="46" fillId="7" borderId="20" xfId="0" applyFont="1" applyFill="1" applyBorder="1" applyAlignment="1">
      <alignment horizontal="center" vertical="center"/>
    </xf>
    <xf numFmtId="0" fontId="11" fillId="0" borderId="12" xfId="0" applyFont="1" applyBorder="1" applyAlignment="1">
      <alignment horizontal="left" vertical="center" wrapText="1"/>
    </xf>
    <xf numFmtId="0" fontId="11" fillId="0" borderId="13" xfId="0" applyFont="1" applyBorder="1" applyAlignment="1">
      <alignment horizontal="left" vertical="center" wrapText="1"/>
    </xf>
    <xf numFmtId="0" fontId="11" fillId="0" borderId="14" xfId="0" applyFont="1" applyBorder="1" applyAlignment="1">
      <alignment horizontal="left" vertical="center" wrapText="1"/>
    </xf>
    <xf numFmtId="44" fontId="11" fillId="0" borderId="12" xfId="0" applyNumberFormat="1" applyFont="1" applyBorder="1" applyAlignment="1">
      <alignment horizontal="left" vertical="center" wrapText="1"/>
    </xf>
    <xf numFmtId="44" fontId="11" fillId="0" borderId="13" xfId="0" applyNumberFormat="1" applyFont="1" applyBorder="1" applyAlignment="1">
      <alignment horizontal="left" vertical="center" wrapText="1"/>
    </xf>
    <xf numFmtId="44" fontId="11" fillId="0" borderId="14" xfId="0" applyNumberFormat="1" applyFont="1" applyBorder="1" applyAlignment="1">
      <alignment horizontal="left"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3" fillId="2" borderId="2" xfId="0" applyFont="1" applyFill="1" applyBorder="1" applyAlignment="1">
      <alignment horizontal="left"/>
    </xf>
    <xf numFmtId="0" fontId="3" fillId="2" borderId="3" xfId="0" applyFont="1" applyFill="1" applyBorder="1" applyAlignment="1">
      <alignment horizontal="left"/>
    </xf>
    <xf numFmtId="0" fontId="3" fillId="2" borderId="4" xfId="0" applyFont="1" applyFill="1" applyBorder="1" applyAlignment="1">
      <alignment horizontal="left"/>
    </xf>
    <xf numFmtId="0" fontId="10" fillId="6" borderId="12"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0" fillId="6" borderId="14" xfId="0" applyFont="1" applyFill="1" applyBorder="1" applyAlignment="1">
      <alignment horizontal="center" vertical="center" wrapText="1"/>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12" fillId="5" borderId="13" xfId="0" applyFont="1" applyFill="1" applyBorder="1" applyAlignment="1">
      <alignment horizontal="center" vertical="center" wrapText="1"/>
    </xf>
    <xf numFmtId="0" fontId="12" fillId="5" borderId="14" xfId="0" applyFont="1" applyFill="1" applyBorder="1" applyAlignment="1">
      <alignment horizontal="center" vertical="center" wrapText="1"/>
    </xf>
    <xf numFmtId="0" fontId="12" fillId="5" borderId="12" xfId="0" applyFont="1" applyFill="1" applyBorder="1" applyAlignment="1">
      <alignment horizontal="center" vertical="center" wrapText="1"/>
    </xf>
    <xf numFmtId="2" fontId="11" fillId="0" borderId="12" xfId="0" applyNumberFormat="1" applyFont="1" applyBorder="1" applyAlignment="1">
      <alignment horizontal="left" vertical="center" wrapText="1"/>
    </xf>
    <xf numFmtId="0" fontId="12" fillId="5" borderId="12" xfId="0" applyFont="1" applyFill="1" applyBorder="1" applyAlignment="1">
      <alignment horizontal="left" vertical="center" wrapText="1"/>
    </xf>
    <xf numFmtId="0" fontId="12" fillId="5" borderId="13" xfId="0" applyFont="1" applyFill="1" applyBorder="1" applyAlignment="1">
      <alignment horizontal="left" vertical="center" wrapText="1"/>
    </xf>
    <xf numFmtId="0" fontId="12" fillId="5" borderId="14" xfId="0" applyFont="1" applyFill="1" applyBorder="1" applyAlignment="1">
      <alignment horizontal="left" vertical="center" wrapText="1"/>
    </xf>
  </cellXfs>
  <cellStyles count="5">
    <cellStyle name="Comma" xfId="1" builtinId="3"/>
    <cellStyle name="Comma 3" xfId="2" xr:uid="{9A6948DF-5292-4E6F-9614-1D0600B27943}"/>
    <cellStyle name="Currency" xfId="3" builtinId="4"/>
    <cellStyle name="Normal" xfId="0" builtinId="0"/>
    <cellStyle name="Normal 2" xfId="4" xr:uid="{27966B68-2FB0-4CE9-BC24-C4DCAB5362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187325</xdr:colOff>
      <xdr:row>0</xdr:row>
      <xdr:rowOff>0</xdr:rowOff>
    </xdr:from>
    <xdr:to>
      <xdr:col>3</xdr:col>
      <xdr:colOff>17141</xdr:colOff>
      <xdr:row>1</xdr:row>
      <xdr:rowOff>9525</xdr:rowOff>
    </xdr:to>
    <xdr:pic>
      <xdr:nvPicPr>
        <xdr:cNvPr id="3" name="Picture 2">
          <a:extLst>
            <a:ext uri="{FF2B5EF4-FFF2-40B4-BE49-F238E27FC236}">
              <a16:creationId xmlns:a16="http://schemas.microsoft.com/office/drawing/2014/main" id="{3899EFD9-0058-4AE5-A200-3D987C29EBC9}"/>
            </a:ext>
          </a:extLst>
        </xdr:cNvPr>
        <xdr:cNvPicPr>
          <a:picLocks noChangeAspect="1"/>
        </xdr:cNvPicPr>
      </xdr:nvPicPr>
      <xdr:blipFill>
        <a:blip xmlns:r="http://schemas.openxmlformats.org/officeDocument/2006/relationships" r:embed="rId1"/>
        <a:stretch>
          <a:fillRect/>
        </a:stretch>
      </xdr:blipFill>
      <xdr:spPr>
        <a:xfrm>
          <a:off x="4978400" y="581025"/>
          <a:ext cx="1420491" cy="5429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E3807F85-3F36-46D4-BE62-51C5380B2B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84725" y="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5592F8AD-934A-475A-BD13-018A20A310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08525" y="0"/>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7A259E4B-C67F-4FBD-82E7-875C39CCE9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08525" y="0"/>
          <a:ext cx="1416050" cy="36507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3A84226A-264A-445D-9CF0-694F3A01D9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84725" y="0"/>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31378-CC65-4C0D-B21F-B692C37196EC}">
  <dimension ref="A1:C16"/>
  <sheetViews>
    <sheetView view="pageBreakPreview" zoomScaleNormal="100" zoomScaleSheetLayoutView="100" workbookViewId="0">
      <selection activeCell="B5" sqref="B5"/>
    </sheetView>
  </sheetViews>
  <sheetFormatPr defaultRowHeight="15" x14ac:dyDescent="0.25"/>
  <cols>
    <col min="1" max="1" width="12.42578125" customWidth="1"/>
    <col min="2" max="2" width="59.42578125" customWidth="1"/>
    <col min="3" max="3" width="23.85546875" customWidth="1"/>
  </cols>
  <sheetData>
    <row r="1" spans="1:3" ht="42" customHeight="1" thickBot="1" x14ac:dyDescent="0.55000000000000004">
      <c r="A1" s="135" t="s">
        <v>142</v>
      </c>
      <c r="B1" s="136"/>
      <c r="C1" s="137"/>
    </row>
    <row r="2" spans="1:3" ht="47.25" customHeight="1" thickBot="1" x14ac:dyDescent="0.3">
      <c r="A2" s="138" t="s">
        <v>135</v>
      </c>
      <c r="B2" s="206" t="s">
        <v>176</v>
      </c>
      <c r="C2" s="207"/>
    </row>
    <row r="3" spans="1:3" ht="22.5" thickBot="1" x14ac:dyDescent="0.5">
      <c r="A3" s="139" t="s">
        <v>0</v>
      </c>
      <c r="B3" s="208" t="s">
        <v>1</v>
      </c>
      <c r="C3" s="209"/>
    </row>
    <row r="4" spans="1:3" ht="26.25" customHeight="1" thickBot="1" x14ac:dyDescent="0.45">
      <c r="A4" s="140" t="s">
        <v>4</v>
      </c>
      <c r="B4" s="210" t="s">
        <v>143</v>
      </c>
      <c r="C4" s="211"/>
    </row>
    <row r="5" spans="1:3" ht="39.75" customHeight="1" thickBot="1" x14ac:dyDescent="0.3">
      <c r="A5" s="141" t="s">
        <v>22</v>
      </c>
      <c r="B5" s="142" t="s">
        <v>136</v>
      </c>
      <c r="C5" s="143" t="s">
        <v>10</v>
      </c>
    </row>
    <row r="6" spans="1:3" ht="22.5" thickTop="1" x14ac:dyDescent="0.25">
      <c r="A6" s="144">
        <v>1</v>
      </c>
      <c r="B6" s="145" t="s">
        <v>175</v>
      </c>
      <c r="C6" s="193">
        <f>'Moqokori PS'!F117</f>
        <v>0</v>
      </c>
    </row>
    <row r="7" spans="1:3" ht="21.75" x14ac:dyDescent="0.25">
      <c r="A7" s="144">
        <v>2</v>
      </c>
      <c r="B7" s="145" t="s">
        <v>144</v>
      </c>
      <c r="C7" s="198">
        <f>'Hassan Barsane PS'!F40</f>
        <v>0</v>
      </c>
    </row>
    <row r="8" spans="1:3" ht="21.75" x14ac:dyDescent="0.25">
      <c r="A8" s="144">
        <v>3</v>
      </c>
      <c r="B8" s="149" t="s">
        <v>145</v>
      </c>
      <c r="C8" s="193">
        <f>'Jawil PS'!F57</f>
        <v>0</v>
      </c>
    </row>
    <row r="9" spans="1:3" ht="22.5" thickBot="1" x14ac:dyDescent="0.3">
      <c r="A9" s="146">
        <v>4</v>
      </c>
      <c r="B9" s="150" t="s">
        <v>146</v>
      </c>
      <c r="C9" s="203">
        <f>'Feerfeer PS'!F120</f>
        <v>0</v>
      </c>
    </row>
    <row r="10" spans="1:3" ht="20.25" thickBot="1" x14ac:dyDescent="0.3">
      <c r="A10" s="212" t="s">
        <v>137</v>
      </c>
      <c r="B10" s="213"/>
      <c r="C10" s="204">
        <f>SUM(C6:C9)</f>
        <v>0</v>
      </c>
    </row>
    <row r="11" spans="1:3" x14ac:dyDescent="0.25">
      <c r="A11" s="147"/>
      <c r="B11" s="147"/>
      <c r="C11" s="147"/>
    </row>
    <row r="12" spans="1:3" x14ac:dyDescent="0.25">
      <c r="A12" s="147"/>
      <c r="B12" s="147"/>
      <c r="C12" s="147"/>
    </row>
    <row r="13" spans="1:3" x14ac:dyDescent="0.25">
      <c r="A13" s="148" t="s">
        <v>138</v>
      </c>
      <c r="B13" s="205"/>
      <c r="C13" s="205"/>
    </row>
    <row r="14" spans="1:3" x14ac:dyDescent="0.25">
      <c r="A14" s="148" t="s">
        <v>139</v>
      </c>
      <c r="B14" s="205"/>
      <c r="C14" s="205"/>
    </row>
    <row r="15" spans="1:3" x14ac:dyDescent="0.25">
      <c r="A15" s="148" t="s">
        <v>140</v>
      </c>
      <c r="B15" s="205"/>
      <c r="C15" s="205"/>
    </row>
    <row r="16" spans="1:3" x14ac:dyDescent="0.25">
      <c r="A16" s="148" t="s">
        <v>141</v>
      </c>
      <c r="B16" s="205"/>
      <c r="C16" s="205"/>
    </row>
  </sheetData>
  <mergeCells count="8">
    <mergeCell ref="B15:C15"/>
    <mergeCell ref="B16:C16"/>
    <mergeCell ref="B2:C2"/>
    <mergeCell ref="B3:C3"/>
    <mergeCell ref="B4:C4"/>
    <mergeCell ref="A10:B10"/>
    <mergeCell ref="B13:C13"/>
    <mergeCell ref="B14:C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74C82-B19D-44E4-B179-008D647C71D4}">
  <dimension ref="A1:F123"/>
  <sheetViews>
    <sheetView view="pageBreakPreview" topLeftCell="A98" zoomScale="96" zoomScaleNormal="100" zoomScaleSheetLayoutView="96" workbookViewId="0">
      <selection activeCell="B101" sqref="B101"/>
    </sheetView>
  </sheetViews>
  <sheetFormatPr defaultRowHeight="15" x14ac:dyDescent="0.25"/>
  <cols>
    <col min="1" max="1" width="11.28515625" customWidth="1"/>
    <col min="2" max="2" width="36" customWidth="1"/>
    <col min="3" max="3" width="6.5703125" customWidth="1"/>
    <col min="4" max="4" width="10.28515625" customWidth="1"/>
    <col min="5" max="5" width="11.42578125" customWidth="1"/>
    <col min="6" max="6" width="16.140625" customWidth="1"/>
  </cols>
  <sheetData>
    <row r="1" spans="1:6" ht="28.5" customHeight="1" thickBot="1" x14ac:dyDescent="0.3">
      <c r="A1" s="83" t="s">
        <v>0</v>
      </c>
      <c r="B1" s="240" t="s">
        <v>1</v>
      </c>
      <c r="C1" s="241"/>
      <c r="D1" s="241"/>
      <c r="E1" s="241"/>
      <c r="F1" s="242"/>
    </row>
    <row r="2" spans="1:6" ht="16.5" thickBot="1" x14ac:dyDescent="0.3">
      <c r="A2" s="83" t="s">
        <v>2</v>
      </c>
      <c r="B2" s="240" t="s">
        <v>177</v>
      </c>
      <c r="C2" s="241"/>
      <c r="D2" s="241"/>
      <c r="E2" s="241"/>
      <c r="F2" s="242"/>
    </row>
    <row r="3" spans="1:6" ht="16.5" thickBot="1" x14ac:dyDescent="0.3">
      <c r="A3" s="84" t="s">
        <v>4</v>
      </c>
      <c r="B3" s="240" t="s">
        <v>165</v>
      </c>
      <c r="C3" s="241"/>
      <c r="D3" s="241"/>
      <c r="E3" s="241"/>
      <c r="F3" s="242"/>
    </row>
    <row r="4" spans="1:6" ht="15.75" thickTop="1" x14ac:dyDescent="0.25">
      <c r="A4" s="85" t="s">
        <v>5</v>
      </c>
      <c r="B4" s="86" t="s">
        <v>6</v>
      </c>
      <c r="C4" s="87" t="s">
        <v>7</v>
      </c>
      <c r="D4" s="87" t="s">
        <v>8</v>
      </c>
      <c r="E4" s="87" t="s">
        <v>9</v>
      </c>
      <c r="F4" s="88" t="s">
        <v>10</v>
      </c>
    </row>
    <row r="5" spans="1:6" x14ac:dyDescent="0.25">
      <c r="A5" s="24" t="s">
        <v>11</v>
      </c>
      <c r="B5" s="89" t="s">
        <v>147</v>
      </c>
      <c r="C5" s="90"/>
      <c r="D5" s="90"/>
      <c r="E5" s="91"/>
      <c r="F5" s="52"/>
    </row>
    <row r="6" spans="1:6" x14ac:dyDescent="0.25">
      <c r="A6" s="92"/>
      <c r="B6" s="93" t="s">
        <v>80</v>
      </c>
      <c r="C6" s="13"/>
      <c r="D6" s="13"/>
      <c r="E6" s="94"/>
      <c r="F6" s="57"/>
    </row>
    <row r="7" spans="1:6" x14ac:dyDescent="0.25">
      <c r="A7" s="92"/>
      <c r="B7" s="95" t="s">
        <v>81</v>
      </c>
      <c r="C7" s="13"/>
      <c r="D7" s="13"/>
      <c r="E7" s="94"/>
      <c r="F7" s="57"/>
    </row>
    <row r="8" spans="1:6" ht="60" x14ac:dyDescent="0.25">
      <c r="A8" s="13">
        <v>1</v>
      </c>
      <c r="B8" s="96" t="s">
        <v>82</v>
      </c>
      <c r="C8" s="97" t="s">
        <v>83</v>
      </c>
      <c r="D8" s="13">
        <f>7.4*4.2</f>
        <v>31.080000000000002</v>
      </c>
      <c r="E8" s="94"/>
      <c r="F8" s="57">
        <f t="shared" ref="F8:F61" si="0">D8*E8</f>
        <v>0</v>
      </c>
    </row>
    <row r="9" spans="1:6" ht="45" x14ac:dyDescent="0.25">
      <c r="A9" s="13">
        <v>2</v>
      </c>
      <c r="B9" s="12" t="s">
        <v>84</v>
      </c>
      <c r="C9" s="13" t="s">
        <v>54</v>
      </c>
      <c r="D9" s="94">
        <f>2*3*5</f>
        <v>30</v>
      </c>
      <c r="E9" s="98"/>
      <c r="F9" s="57">
        <f t="shared" si="0"/>
        <v>0</v>
      </c>
    </row>
    <row r="10" spans="1:6" ht="45" x14ac:dyDescent="0.25">
      <c r="A10" s="13">
        <v>3</v>
      </c>
      <c r="B10" s="12" t="s">
        <v>85</v>
      </c>
      <c r="C10" s="13" t="s">
        <v>54</v>
      </c>
      <c r="D10" s="56">
        <f>10*0.15</f>
        <v>1.5</v>
      </c>
      <c r="E10" s="94"/>
      <c r="F10" s="57">
        <f t="shared" si="0"/>
        <v>0</v>
      </c>
    </row>
    <row r="11" spans="1:6" ht="75" x14ac:dyDescent="0.25">
      <c r="A11" s="13">
        <v>4</v>
      </c>
      <c r="B11" s="12" t="s">
        <v>86</v>
      </c>
      <c r="C11" s="13" t="s">
        <v>54</v>
      </c>
      <c r="D11" s="56">
        <f>28.5*0.4*0.3</f>
        <v>3.42</v>
      </c>
      <c r="E11" s="94"/>
      <c r="F11" s="57">
        <f t="shared" si="0"/>
        <v>0</v>
      </c>
    </row>
    <row r="12" spans="1:6" ht="60" x14ac:dyDescent="0.25">
      <c r="A12" s="13">
        <v>5</v>
      </c>
      <c r="B12" s="12" t="s">
        <v>87</v>
      </c>
      <c r="C12" s="13" t="s">
        <v>54</v>
      </c>
      <c r="D12" s="56">
        <f>25.8*0.4*0.05</f>
        <v>0.51600000000000001</v>
      </c>
      <c r="E12" s="94"/>
      <c r="F12" s="57">
        <f t="shared" si="0"/>
        <v>0</v>
      </c>
    </row>
    <row r="13" spans="1:6" ht="105" x14ac:dyDescent="0.25">
      <c r="A13" s="13">
        <v>6</v>
      </c>
      <c r="B13" s="12" t="s">
        <v>88</v>
      </c>
      <c r="C13" s="13" t="s">
        <v>54</v>
      </c>
      <c r="D13" s="99">
        <f>25.8*0.6*0.4</f>
        <v>6.1920000000000002</v>
      </c>
      <c r="E13" s="94"/>
      <c r="F13" s="57">
        <f t="shared" si="0"/>
        <v>0</v>
      </c>
    </row>
    <row r="14" spans="1:6" x14ac:dyDescent="0.25">
      <c r="A14" s="92"/>
      <c r="B14" s="95" t="s">
        <v>89</v>
      </c>
      <c r="C14" s="100"/>
      <c r="D14" s="134"/>
      <c r="E14" s="56"/>
      <c r="F14" s="57"/>
    </row>
    <row r="15" spans="1:6" ht="105" x14ac:dyDescent="0.25">
      <c r="A15" s="13">
        <v>7</v>
      </c>
      <c r="B15" s="12" t="s">
        <v>90</v>
      </c>
      <c r="C15" s="13" t="s">
        <v>54</v>
      </c>
      <c r="D15" s="99">
        <f>0.4*25.8*0.15</f>
        <v>1.548</v>
      </c>
      <c r="E15" s="99"/>
      <c r="F15" s="57">
        <f t="shared" si="0"/>
        <v>0</v>
      </c>
    </row>
    <row r="16" spans="1:6" ht="135" x14ac:dyDescent="0.25">
      <c r="A16" s="13">
        <v>8</v>
      </c>
      <c r="B16" s="12" t="s">
        <v>148</v>
      </c>
      <c r="C16" s="13" t="s">
        <v>54</v>
      </c>
      <c r="D16" s="99">
        <f>3.8*2.8*0.15</f>
        <v>1.5959999999999999</v>
      </c>
      <c r="E16" s="99"/>
      <c r="F16" s="57">
        <f t="shared" si="0"/>
        <v>0</v>
      </c>
    </row>
    <row r="17" spans="1:6" x14ac:dyDescent="0.25">
      <c r="A17" s="92"/>
      <c r="B17" s="95" t="s">
        <v>91</v>
      </c>
      <c r="C17" s="13"/>
      <c r="D17" s="100"/>
      <c r="E17" s="99"/>
      <c r="F17" s="57"/>
    </row>
    <row r="18" spans="1:6" ht="60" x14ac:dyDescent="0.25">
      <c r="A18" s="13">
        <v>9</v>
      </c>
      <c r="B18" s="12" t="s">
        <v>92</v>
      </c>
      <c r="C18" s="13" t="s">
        <v>54</v>
      </c>
      <c r="D18" s="94">
        <f>25.8*0.2</f>
        <v>5.16</v>
      </c>
      <c r="E18" s="99"/>
      <c r="F18" s="57">
        <f t="shared" si="0"/>
        <v>0</v>
      </c>
    </row>
    <row r="19" spans="1:6" ht="45" x14ac:dyDescent="0.25">
      <c r="A19" s="13">
        <v>10</v>
      </c>
      <c r="B19" s="12" t="s">
        <v>93</v>
      </c>
      <c r="C19" s="13" t="s">
        <v>54</v>
      </c>
      <c r="D19" s="101">
        <f>D18</f>
        <v>5.16</v>
      </c>
      <c r="E19" s="99"/>
      <c r="F19" s="57">
        <f t="shared" si="0"/>
        <v>0</v>
      </c>
    </row>
    <row r="20" spans="1:6" x14ac:dyDescent="0.25">
      <c r="A20" s="13"/>
      <c r="B20" s="102" t="s">
        <v>94</v>
      </c>
      <c r="C20" s="13"/>
      <c r="D20" s="103"/>
      <c r="E20" s="99"/>
      <c r="F20" s="57"/>
    </row>
    <row r="21" spans="1:6" ht="60" x14ac:dyDescent="0.25">
      <c r="A21" s="13">
        <v>11</v>
      </c>
      <c r="B21" s="12" t="s">
        <v>95</v>
      </c>
      <c r="C21" s="13" t="s">
        <v>54</v>
      </c>
      <c r="D21" s="103">
        <f>6.3*4.2*0.05</f>
        <v>1.3230000000000002</v>
      </c>
      <c r="E21" s="99"/>
      <c r="F21" s="57">
        <f t="shared" si="0"/>
        <v>0</v>
      </c>
    </row>
    <row r="22" spans="1:6" ht="45" x14ac:dyDescent="0.25">
      <c r="A22" s="13">
        <v>12</v>
      </c>
      <c r="B22" s="104" t="s">
        <v>96</v>
      </c>
      <c r="C22" s="97" t="s">
        <v>83</v>
      </c>
      <c r="D22" s="134">
        <f>2*2*2</f>
        <v>8</v>
      </c>
      <c r="E22" s="99"/>
      <c r="F22" s="57">
        <f t="shared" si="0"/>
        <v>0</v>
      </c>
    </row>
    <row r="23" spans="1:6" ht="75" x14ac:dyDescent="0.25">
      <c r="A23" s="13">
        <v>13</v>
      </c>
      <c r="B23" s="104" t="s">
        <v>97</v>
      </c>
      <c r="C23" s="97" t="s">
        <v>83</v>
      </c>
      <c r="D23" s="134">
        <v>34.200000000000003</v>
      </c>
      <c r="E23" s="99"/>
      <c r="F23" s="57">
        <f t="shared" si="0"/>
        <v>0</v>
      </c>
    </row>
    <row r="24" spans="1:6" x14ac:dyDescent="0.25">
      <c r="A24" s="105"/>
      <c r="B24" s="12"/>
      <c r="C24" s="134"/>
      <c r="D24" s="106"/>
      <c r="E24" s="99"/>
      <c r="F24" s="57"/>
    </row>
    <row r="25" spans="1:6" x14ac:dyDescent="0.25">
      <c r="A25" s="105"/>
      <c r="B25" s="107" t="s">
        <v>80</v>
      </c>
      <c r="C25" s="134"/>
      <c r="D25" s="134"/>
      <c r="E25" s="99"/>
      <c r="F25" s="57"/>
    </row>
    <row r="26" spans="1:6" x14ac:dyDescent="0.25">
      <c r="A26" s="69"/>
      <c r="B26" s="108" t="s">
        <v>98</v>
      </c>
      <c r="C26" s="109"/>
      <c r="D26" s="109"/>
      <c r="E26" s="98"/>
      <c r="F26" s="57"/>
    </row>
    <row r="27" spans="1:6" ht="75" x14ac:dyDescent="0.25">
      <c r="A27" s="69">
        <v>14</v>
      </c>
      <c r="B27" s="104" t="s">
        <v>99</v>
      </c>
      <c r="C27" s="97" t="s">
        <v>83</v>
      </c>
      <c r="D27" s="134">
        <f>25.8*2.9</f>
        <v>74.819999999999993</v>
      </c>
      <c r="E27" s="99"/>
      <c r="F27" s="57">
        <f t="shared" si="0"/>
        <v>0</v>
      </c>
    </row>
    <row r="28" spans="1:6" x14ac:dyDescent="0.25">
      <c r="A28" s="69"/>
      <c r="B28" s="108" t="s">
        <v>100</v>
      </c>
      <c r="C28" s="109"/>
      <c r="D28" s="109"/>
      <c r="E28" s="56"/>
      <c r="F28" s="57"/>
    </row>
    <row r="29" spans="1:6" ht="120" x14ac:dyDescent="0.25">
      <c r="A29" s="110">
        <v>15</v>
      </c>
      <c r="B29" s="104" t="s">
        <v>101</v>
      </c>
      <c r="C29" s="13" t="s">
        <v>54</v>
      </c>
      <c r="D29" s="99">
        <f>25.8*0.15*0.15</f>
        <v>0.58050000000000002</v>
      </c>
      <c r="E29" s="99"/>
      <c r="F29" s="57">
        <f t="shared" si="0"/>
        <v>0</v>
      </c>
    </row>
    <row r="30" spans="1:6" x14ac:dyDescent="0.25">
      <c r="A30" s="71"/>
      <c r="B30" s="102" t="s">
        <v>102</v>
      </c>
      <c r="C30" s="109"/>
      <c r="D30" s="109"/>
      <c r="E30" s="99"/>
      <c r="F30" s="57"/>
    </row>
    <row r="31" spans="1:6" ht="60" x14ac:dyDescent="0.25">
      <c r="A31" s="71">
        <v>16</v>
      </c>
      <c r="B31" s="104" t="s">
        <v>103</v>
      </c>
      <c r="C31" s="13" t="s">
        <v>104</v>
      </c>
      <c r="D31" s="99">
        <v>1</v>
      </c>
      <c r="E31" s="99"/>
      <c r="F31" s="57">
        <f t="shared" si="0"/>
        <v>0</v>
      </c>
    </row>
    <row r="32" spans="1:6" ht="60" x14ac:dyDescent="0.25">
      <c r="A32" s="71">
        <v>17</v>
      </c>
      <c r="B32" s="104" t="s">
        <v>105</v>
      </c>
      <c r="C32" s="13" t="s">
        <v>104</v>
      </c>
      <c r="D32" s="99">
        <v>1</v>
      </c>
      <c r="E32" s="99"/>
      <c r="F32" s="57">
        <f t="shared" si="0"/>
        <v>0</v>
      </c>
    </row>
    <row r="33" spans="1:6" ht="45" x14ac:dyDescent="0.25">
      <c r="A33" s="71">
        <v>18</v>
      </c>
      <c r="B33" s="111" t="s">
        <v>106</v>
      </c>
      <c r="C33" s="134" t="s">
        <v>104</v>
      </c>
      <c r="D33" s="99">
        <v>1</v>
      </c>
      <c r="E33" s="99"/>
      <c r="F33" s="57">
        <f t="shared" si="0"/>
        <v>0</v>
      </c>
    </row>
    <row r="34" spans="1:6" x14ac:dyDescent="0.25">
      <c r="A34" s="112"/>
      <c r="B34" s="109"/>
      <c r="C34" s="109"/>
      <c r="D34" s="109"/>
      <c r="E34" s="99"/>
      <c r="F34" s="57"/>
    </row>
    <row r="35" spans="1:6" x14ac:dyDescent="0.25">
      <c r="A35" s="112"/>
      <c r="B35" s="107" t="s">
        <v>107</v>
      </c>
      <c r="C35" s="109"/>
      <c r="D35" s="109"/>
      <c r="E35" s="99"/>
      <c r="F35" s="57"/>
    </row>
    <row r="36" spans="1:6" ht="180" x14ac:dyDescent="0.25">
      <c r="A36" s="71">
        <v>19</v>
      </c>
      <c r="B36" s="104" t="s">
        <v>149</v>
      </c>
      <c r="C36" s="97" t="s">
        <v>83</v>
      </c>
      <c r="D36" s="99">
        <f>(4.6*2*1.5)</f>
        <v>13.799999999999999</v>
      </c>
      <c r="E36" s="99"/>
      <c r="F36" s="57">
        <f t="shared" si="0"/>
        <v>0</v>
      </c>
    </row>
    <row r="37" spans="1:6" ht="60" x14ac:dyDescent="0.25">
      <c r="A37" s="71">
        <v>20</v>
      </c>
      <c r="B37" s="104" t="s">
        <v>70</v>
      </c>
      <c r="C37" s="97" t="s">
        <v>83</v>
      </c>
      <c r="D37" s="99">
        <f>4.6*2</f>
        <v>9.1999999999999993</v>
      </c>
      <c r="E37" s="99"/>
      <c r="F37" s="57">
        <f>E37*D37</f>
        <v>0</v>
      </c>
    </row>
    <row r="38" spans="1:6" x14ac:dyDescent="0.25">
      <c r="A38" s="71">
        <v>20</v>
      </c>
      <c r="B38" s="109" t="s">
        <v>108</v>
      </c>
      <c r="C38" s="134" t="s">
        <v>83</v>
      </c>
      <c r="D38" s="99">
        <v>14.8</v>
      </c>
      <c r="E38" s="99"/>
      <c r="F38" s="57">
        <f t="shared" si="0"/>
        <v>0</v>
      </c>
    </row>
    <row r="39" spans="1:6" x14ac:dyDescent="0.25">
      <c r="A39" s="112"/>
      <c r="B39" s="109"/>
      <c r="C39" s="109"/>
      <c r="D39" s="109"/>
      <c r="E39" s="99"/>
      <c r="F39" s="57"/>
    </row>
    <row r="40" spans="1:6" x14ac:dyDescent="0.25">
      <c r="A40" s="112"/>
      <c r="B40" s="107" t="s">
        <v>109</v>
      </c>
      <c r="C40" s="109"/>
      <c r="D40" s="109"/>
      <c r="E40" s="99"/>
      <c r="F40" s="57"/>
    </row>
    <row r="41" spans="1:6" ht="45" x14ac:dyDescent="0.25">
      <c r="A41" s="71">
        <v>21</v>
      </c>
      <c r="B41" s="111" t="s">
        <v>110</v>
      </c>
      <c r="C41" s="97" t="s">
        <v>83</v>
      </c>
      <c r="D41" s="134">
        <f>50.8*2.9</f>
        <v>147.32</v>
      </c>
      <c r="E41" s="99"/>
      <c r="F41" s="57">
        <f t="shared" si="0"/>
        <v>0</v>
      </c>
    </row>
    <row r="42" spans="1:6" ht="45" x14ac:dyDescent="0.25">
      <c r="A42" s="71">
        <v>22</v>
      </c>
      <c r="B42" s="111" t="s">
        <v>111</v>
      </c>
      <c r="C42" s="97" t="s">
        <v>83</v>
      </c>
      <c r="D42" s="134">
        <f>D41</f>
        <v>147.32</v>
      </c>
      <c r="E42" s="99"/>
      <c r="F42" s="57">
        <f t="shared" si="0"/>
        <v>0</v>
      </c>
    </row>
    <row r="43" spans="1:6" ht="60" x14ac:dyDescent="0.25">
      <c r="A43" s="71">
        <v>23</v>
      </c>
      <c r="B43" s="111" t="s">
        <v>112</v>
      </c>
      <c r="C43" s="97" t="s">
        <v>83</v>
      </c>
      <c r="D43" s="134">
        <f>D42</f>
        <v>147.32</v>
      </c>
      <c r="E43" s="99"/>
      <c r="F43" s="57">
        <f t="shared" si="0"/>
        <v>0</v>
      </c>
    </row>
    <row r="44" spans="1:6" x14ac:dyDescent="0.25">
      <c r="A44" s="112"/>
      <c r="B44" s="109"/>
      <c r="C44" s="109"/>
      <c r="D44" s="109"/>
      <c r="E44" s="99"/>
      <c r="F44" s="57"/>
    </row>
    <row r="45" spans="1:6" x14ac:dyDescent="0.25">
      <c r="A45" s="113"/>
      <c r="B45" s="107" t="s">
        <v>113</v>
      </c>
      <c r="C45" s="109"/>
      <c r="D45" s="109"/>
      <c r="E45" s="99"/>
      <c r="F45" s="57"/>
    </row>
    <row r="46" spans="1:6" x14ac:dyDescent="0.25">
      <c r="A46" s="71"/>
      <c r="B46" s="108" t="s">
        <v>114</v>
      </c>
      <c r="C46" s="109"/>
      <c r="D46" s="109"/>
      <c r="E46" s="99"/>
      <c r="F46" s="57"/>
    </row>
    <row r="47" spans="1:6" ht="60" x14ac:dyDescent="0.25">
      <c r="A47" s="71">
        <v>24</v>
      </c>
      <c r="B47" s="111" t="s">
        <v>115</v>
      </c>
      <c r="C47" s="134" t="s">
        <v>42</v>
      </c>
      <c r="D47" s="99">
        <v>2</v>
      </c>
      <c r="E47" s="99"/>
      <c r="F47" s="57">
        <f t="shared" si="0"/>
        <v>0</v>
      </c>
    </row>
    <row r="48" spans="1:6" x14ac:dyDescent="0.25">
      <c r="A48" s="112"/>
      <c r="B48" s="108" t="s">
        <v>116</v>
      </c>
      <c r="C48" s="109"/>
      <c r="D48" s="109"/>
      <c r="E48" s="99"/>
      <c r="F48" s="57"/>
    </row>
    <row r="49" spans="1:6" ht="60" x14ac:dyDescent="0.25">
      <c r="A49" s="71">
        <v>25</v>
      </c>
      <c r="B49" s="104" t="s">
        <v>117</v>
      </c>
      <c r="C49" s="134" t="s">
        <v>42</v>
      </c>
      <c r="D49" s="99">
        <v>3</v>
      </c>
      <c r="E49" s="99"/>
      <c r="F49" s="57">
        <f t="shared" si="0"/>
        <v>0</v>
      </c>
    </row>
    <row r="50" spans="1:6" x14ac:dyDescent="0.25">
      <c r="A50" s="71"/>
      <c r="B50" s="104"/>
      <c r="C50" s="134"/>
      <c r="D50" s="99"/>
      <c r="E50" s="99"/>
      <c r="F50" s="57"/>
    </row>
    <row r="51" spans="1:6" x14ac:dyDescent="0.25">
      <c r="A51" s="71"/>
      <c r="B51" s="107" t="s">
        <v>118</v>
      </c>
      <c r="C51" s="109"/>
      <c r="D51" s="109"/>
      <c r="E51" s="99"/>
      <c r="F51" s="57"/>
    </row>
    <row r="52" spans="1:6" x14ac:dyDescent="0.25">
      <c r="A52" s="71"/>
      <c r="B52" s="108" t="s">
        <v>119</v>
      </c>
      <c r="C52" s="109"/>
      <c r="D52" s="109"/>
      <c r="E52" s="99"/>
      <c r="F52" s="57"/>
    </row>
    <row r="53" spans="1:6" ht="30" x14ac:dyDescent="0.25">
      <c r="A53" s="71">
        <v>26</v>
      </c>
      <c r="B53" s="114" t="s">
        <v>120</v>
      </c>
      <c r="C53" s="134" t="s">
        <v>42</v>
      </c>
      <c r="D53" s="99">
        <v>1</v>
      </c>
      <c r="E53" s="99"/>
      <c r="F53" s="57">
        <f t="shared" si="0"/>
        <v>0</v>
      </c>
    </row>
    <row r="54" spans="1:6" ht="60" x14ac:dyDescent="0.25">
      <c r="A54" s="71">
        <v>27</v>
      </c>
      <c r="B54" s="114" t="s">
        <v>121</v>
      </c>
      <c r="C54" s="134" t="s">
        <v>42</v>
      </c>
      <c r="D54" s="99">
        <v>1</v>
      </c>
      <c r="E54" s="99"/>
      <c r="F54" s="57">
        <f t="shared" si="0"/>
        <v>0</v>
      </c>
    </row>
    <row r="55" spans="1:6" ht="75" x14ac:dyDescent="0.25">
      <c r="A55" s="71">
        <v>28</v>
      </c>
      <c r="B55" s="114" t="s">
        <v>150</v>
      </c>
      <c r="C55" s="134" t="s">
        <v>42</v>
      </c>
      <c r="D55" s="99">
        <v>1</v>
      </c>
      <c r="E55" s="99"/>
      <c r="F55" s="57">
        <f t="shared" si="0"/>
        <v>0</v>
      </c>
    </row>
    <row r="56" spans="1:6" ht="90" x14ac:dyDescent="0.25">
      <c r="A56" s="71">
        <v>29</v>
      </c>
      <c r="B56" s="114" t="s">
        <v>151</v>
      </c>
      <c r="C56" s="134" t="s">
        <v>42</v>
      </c>
      <c r="D56" s="99">
        <v>2</v>
      </c>
      <c r="E56" s="99"/>
      <c r="F56" s="57">
        <f t="shared" si="0"/>
        <v>0</v>
      </c>
    </row>
    <row r="57" spans="1:6" ht="45" x14ac:dyDescent="0.25">
      <c r="A57" s="71">
        <v>30</v>
      </c>
      <c r="B57" s="12" t="s">
        <v>122</v>
      </c>
      <c r="C57" s="134" t="s">
        <v>42</v>
      </c>
      <c r="D57" s="99">
        <v>2</v>
      </c>
      <c r="E57" s="99"/>
      <c r="F57" s="57">
        <f t="shared" si="0"/>
        <v>0</v>
      </c>
    </row>
    <row r="58" spans="1:6" ht="30" x14ac:dyDescent="0.25">
      <c r="A58" s="71">
        <v>31</v>
      </c>
      <c r="B58" s="12" t="s">
        <v>123</v>
      </c>
      <c r="C58" s="134" t="s">
        <v>124</v>
      </c>
      <c r="D58" s="99">
        <v>1</v>
      </c>
      <c r="E58" s="99"/>
      <c r="F58" s="57">
        <f t="shared" si="0"/>
        <v>0</v>
      </c>
    </row>
    <row r="59" spans="1:6" x14ac:dyDescent="0.25">
      <c r="A59" s="112"/>
      <c r="B59" s="109"/>
      <c r="C59" s="109"/>
      <c r="D59" s="109"/>
      <c r="E59" s="99"/>
      <c r="F59" s="57"/>
    </row>
    <row r="60" spans="1:6" x14ac:dyDescent="0.25">
      <c r="A60" s="112"/>
      <c r="B60" s="107" t="s">
        <v>125</v>
      </c>
      <c r="C60" s="109"/>
      <c r="D60" s="109"/>
      <c r="E60" s="99"/>
      <c r="F60" s="57"/>
    </row>
    <row r="61" spans="1:6" ht="45" x14ac:dyDescent="0.25">
      <c r="A61" s="71">
        <v>31</v>
      </c>
      <c r="B61" s="104" t="s">
        <v>126</v>
      </c>
      <c r="C61" s="134" t="s">
        <v>42</v>
      </c>
      <c r="D61" s="99">
        <v>2</v>
      </c>
      <c r="E61" s="99"/>
      <c r="F61" s="57">
        <f t="shared" si="0"/>
        <v>0</v>
      </c>
    </row>
    <row r="62" spans="1:6" x14ac:dyDescent="0.25">
      <c r="A62" s="115"/>
      <c r="B62" s="243" t="s">
        <v>152</v>
      </c>
      <c r="C62" s="244"/>
      <c r="D62" s="244"/>
      <c r="E62" s="245"/>
      <c r="F62" s="116">
        <f>SUM(F8:F61)</f>
        <v>0</v>
      </c>
    </row>
    <row r="63" spans="1:6" x14ac:dyDescent="0.25">
      <c r="A63" s="115"/>
      <c r="B63" s="243" t="s">
        <v>153</v>
      </c>
      <c r="C63" s="244"/>
      <c r="D63" s="244"/>
      <c r="E63" s="245"/>
      <c r="F63" s="116">
        <f>F62*2</f>
        <v>0</v>
      </c>
    </row>
    <row r="64" spans="1:6" x14ac:dyDescent="0.25">
      <c r="A64" s="172"/>
      <c r="B64" s="173"/>
      <c r="C64" s="173"/>
      <c r="D64" s="173"/>
      <c r="E64" s="173"/>
      <c r="F64" s="174"/>
    </row>
    <row r="65" spans="1:6" ht="15.75" x14ac:dyDescent="0.25">
      <c r="A65" s="178" t="s">
        <v>39</v>
      </c>
      <c r="B65" s="179" t="s">
        <v>166</v>
      </c>
      <c r="C65" s="180"/>
      <c r="D65" s="180"/>
      <c r="E65" s="181"/>
      <c r="F65" s="182"/>
    </row>
    <row r="66" spans="1:6" ht="16.5" x14ac:dyDescent="0.25">
      <c r="A66" s="151">
        <v>1</v>
      </c>
      <c r="B66" s="152" t="s">
        <v>154</v>
      </c>
      <c r="C66" s="175"/>
      <c r="D66" s="175"/>
      <c r="E66" s="176"/>
      <c r="F66" s="177"/>
    </row>
    <row r="67" spans="1:6" ht="105" x14ac:dyDescent="0.25">
      <c r="A67" s="156">
        <v>1.1000000000000001</v>
      </c>
      <c r="B67" s="157" t="s">
        <v>155</v>
      </c>
      <c r="C67" s="158"/>
      <c r="D67" s="159">
        <f>(2.5*1.8*1.3)</f>
        <v>5.8500000000000005</v>
      </c>
      <c r="E67" s="160"/>
      <c r="F67" s="160">
        <f>D67*E67</f>
        <v>0</v>
      </c>
    </row>
    <row r="68" spans="1:6" ht="45" x14ac:dyDescent="0.25">
      <c r="A68" s="156">
        <v>1.2</v>
      </c>
      <c r="B68" s="157" t="s">
        <v>156</v>
      </c>
      <c r="C68" s="158"/>
      <c r="D68" s="159">
        <f>(((1.8+1.8+2+2)*1)+(1.8*2))</f>
        <v>11.2</v>
      </c>
      <c r="E68" s="160"/>
      <c r="F68" s="160">
        <f t="shared" ref="F68:F69" si="1">D68*E68</f>
        <v>0</v>
      </c>
    </row>
    <row r="69" spans="1:6" ht="45" x14ac:dyDescent="0.25">
      <c r="A69" s="156">
        <v>1.3</v>
      </c>
      <c r="B69" s="161" t="s">
        <v>157</v>
      </c>
      <c r="C69" s="158"/>
      <c r="D69" s="159">
        <f>D68</f>
        <v>11.2</v>
      </c>
      <c r="E69" s="160"/>
      <c r="F69" s="160">
        <f t="shared" si="1"/>
        <v>0</v>
      </c>
    </row>
    <row r="70" spans="1:6" ht="16.5" x14ac:dyDescent="0.25">
      <c r="A70" s="162">
        <v>2</v>
      </c>
      <c r="B70" s="163" t="s">
        <v>158</v>
      </c>
      <c r="C70" s="153"/>
      <c r="D70" s="153"/>
      <c r="E70" s="154"/>
      <c r="F70" s="155"/>
    </row>
    <row r="71" spans="1:6" ht="135" x14ac:dyDescent="0.25">
      <c r="A71" s="156">
        <v>2.1</v>
      </c>
      <c r="B71" s="161" t="s">
        <v>159</v>
      </c>
      <c r="C71" s="158" t="s">
        <v>22</v>
      </c>
      <c r="D71" s="164">
        <v>1</v>
      </c>
      <c r="E71" s="160"/>
      <c r="F71" s="165">
        <f t="shared" ref="F71:F73" si="2">E71*D71</f>
        <v>0</v>
      </c>
    </row>
    <row r="72" spans="1:6" ht="90" x14ac:dyDescent="0.25">
      <c r="A72" s="156">
        <v>2.2000000000000002</v>
      </c>
      <c r="B72" s="161" t="s">
        <v>160</v>
      </c>
      <c r="C72" s="158" t="s">
        <v>104</v>
      </c>
      <c r="D72" s="164">
        <v>1</v>
      </c>
      <c r="E72" s="160"/>
      <c r="F72" s="165">
        <f t="shared" si="2"/>
        <v>0</v>
      </c>
    </row>
    <row r="73" spans="1:6" ht="120" x14ac:dyDescent="0.25">
      <c r="A73" s="156">
        <v>3.2</v>
      </c>
      <c r="B73" s="161" t="s">
        <v>161</v>
      </c>
      <c r="C73" s="158" t="s">
        <v>104</v>
      </c>
      <c r="D73" s="164">
        <v>1</v>
      </c>
      <c r="E73" s="160"/>
      <c r="F73" s="165">
        <f t="shared" si="2"/>
        <v>0</v>
      </c>
    </row>
    <row r="74" spans="1:6" x14ac:dyDescent="0.25">
      <c r="A74" s="166">
        <v>3</v>
      </c>
      <c r="B74" s="167" t="s">
        <v>162</v>
      </c>
      <c r="C74" s="168"/>
      <c r="D74" s="169"/>
      <c r="E74" s="170"/>
      <c r="F74" s="171"/>
    </row>
    <row r="75" spans="1:6" ht="60" x14ac:dyDescent="0.25">
      <c r="A75" s="183">
        <v>1.1000000000000001</v>
      </c>
      <c r="B75" s="184" t="s">
        <v>163</v>
      </c>
      <c r="C75" s="185" t="s">
        <v>164</v>
      </c>
      <c r="D75" s="186">
        <v>60</v>
      </c>
      <c r="E75" s="187"/>
      <c r="F75" s="188">
        <f t="shared" ref="F75" si="3">E75*D75</f>
        <v>0</v>
      </c>
    </row>
    <row r="76" spans="1:6" ht="16.5" x14ac:dyDescent="0.25">
      <c r="A76" s="191"/>
      <c r="B76" s="237" t="str">
        <f>B65</f>
        <v xml:space="preserve">One Ground Water Tank </v>
      </c>
      <c r="C76" s="238"/>
      <c r="D76" s="238"/>
      <c r="E76" s="239"/>
      <c r="F76" s="192">
        <f>SUM(F67:F75)</f>
        <v>0</v>
      </c>
    </row>
    <row r="77" spans="1:6" x14ac:dyDescent="0.25">
      <c r="A77" s="189"/>
      <c r="B77" s="190"/>
      <c r="C77" s="190"/>
      <c r="D77" s="190"/>
      <c r="E77" s="190"/>
      <c r="F77" s="190"/>
    </row>
    <row r="78" spans="1:6" x14ac:dyDescent="0.25">
      <c r="A78" s="24" t="s">
        <v>27</v>
      </c>
      <c r="B78" s="25" t="s">
        <v>127</v>
      </c>
      <c r="C78" s="26"/>
      <c r="D78" s="26"/>
      <c r="E78" s="68"/>
      <c r="F78" s="52"/>
    </row>
    <row r="79" spans="1:6" x14ac:dyDescent="0.25">
      <c r="A79" s="220" t="s">
        <v>128</v>
      </c>
      <c r="B79" s="221"/>
      <c r="C79" s="221"/>
      <c r="D79" s="221"/>
      <c r="E79" s="221"/>
      <c r="F79" s="222"/>
    </row>
    <row r="80" spans="1:6" ht="30" x14ac:dyDescent="0.25">
      <c r="A80" s="11">
        <v>1</v>
      </c>
      <c r="B80" s="12" t="s">
        <v>52</v>
      </c>
      <c r="C80" s="13" t="s">
        <v>15</v>
      </c>
      <c r="D80" s="13">
        <f>8*(10*9)</f>
        <v>720</v>
      </c>
      <c r="E80" s="70"/>
      <c r="F80" s="57">
        <f t="shared" ref="F80:F106" si="4">D80*E80</f>
        <v>0</v>
      </c>
    </row>
    <row r="81" spans="1:6" ht="60" x14ac:dyDescent="0.25">
      <c r="A81" s="11">
        <v>2</v>
      </c>
      <c r="B81" s="12" t="s">
        <v>53</v>
      </c>
      <c r="C81" s="13" t="s">
        <v>54</v>
      </c>
      <c r="D81" s="13">
        <f>(8*8.2*3+9*9)*0.5*0.7</f>
        <v>97.229999999999976</v>
      </c>
      <c r="E81" s="70"/>
      <c r="F81" s="57">
        <f t="shared" si="4"/>
        <v>0</v>
      </c>
    </row>
    <row r="82" spans="1:6" ht="45" x14ac:dyDescent="0.25">
      <c r="A82" s="11">
        <v>3</v>
      </c>
      <c r="B82" s="12" t="s">
        <v>55</v>
      </c>
      <c r="C82" s="13" t="s">
        <v>15</v>
      </c>
      <c r="D82" s="13">
        <f>(8*8.2*3+9*9)*0.5</f>
        <v>138.89999999999998</v>
      </c>
      <c r="E82" s="70"/>
      <c r="F82" s="57">
        <f t="shared" si="4"/>
        <v>0</v>
      </c>
    </row>
    <row r="83" spans="1:6" ht="45" x14ac:dyDescent="0.25">
      <c r="A83" s="11">
        <v>4</v>
      </c>
      <c r="B83" s="12" t="s">
        <v>56</v>
      </c>
      <c r="C83" s="13" t="s">
        <v>18</v>
      </c>
      <c r="D83" s="13">
        <f>(8*8.2*3+9*9)*0.9*0.4</f>
        <v>100.00799999999998</v>
      </c>
      <c r="E83" s="70"/>
      <c r="F83" s="57">
        <f t="shared" si="4"/>
        <v>0</v>
      </c>
    </row>
    <row r="84" spans="1:6" ht="105" x14ac:dyDescent="0.25">
      <c r="A84" s="11">
        <v>5</v>
      </c>
      <c r="B84" s="12" t="s">
        <v>57</v>
      </c>
      <c r="C84" s="16" t="s">
        <v>18</v>
      </c>
      <c r="D84" s="13">
        <f>(8*8.2*3+9*9)*0.2*0.4</f>
        <v>22.224</v>
      </c>
      <c r="E84" s="56"/>
      <c r="F84" s="57">
        <f t="shared" si="4"/>
        <v>0</v>
      </c>
    </row>
    <row r="85" spans="1:6" ht="90" x14ac:dyDescent="0.25">
      <c r="A85" s="11">
        <v>6</v>
      </c>
      <c r="B85" s="12" t="s">
        <v>58</v>
      </c>
      <c r="C85" s="16" t="s">
        <v>18</v>
      </c>
      <c r="D85" s="11">
        <f>(9*2+17)*(0.7*0.7*0.3)</f>
        <v>5.1449999999999987</v>
      </c>
      <c r="E85" s="56"/>
      <c r="F85" s="57">
        <f t="shared" si="4"/>
        <v>0</v>
      </c>
    </row>
    <row r="86" spans="1:6" ht="90" x14ac:dyDescent="0.25">
      <c r="A86" s="11">
        <v>7</v>
      </c>
      <c r="B86" s="12" t="s">
        <v>129</v>
      </c>
      <c r="C86" s="13" t="s">
        <v>18</v>
      </c>
      <c r="D86" s="11">
        <f>(9*2+17)*(1*0.2*0.2)</f>
        <v>1.4000000000000004</v>
      </c>
      <c r="E86" s="94"/>
      <c r="F86" s="57">
        <f t="shared" si="4"/>
        <v>0</v>
      </c>
    </row>
    <row r="87" spans="1:6" ht="30" x14ac:dyDescent="0.25">
      <c r="A87" s="11">
        <v>8</v>
      </c>
      <c r="B87" s="12" t="s">
        <v>60</v>
      </c>
      <c r="C87" s="11" t="s">
        <v>18</v>
      </c>
      <c r="D87" s="73">
        <f>8*8*9*0.2</f>
        <v>115.2</v>
      </c>
      <c r="E87" s="70"/>
      <c r="F87" s="57">
        <f t="shared" si="4"/>
        <v>0</v>
      </c>
    </row>
    <row r="88" spans="1:6" x14ac:dyDescent="0.25">
      <c r="A88" s="11">
        <v>9</v>
      </c>
      <c r="B88" s="12" t="s">
        <v>61</v>
      </c>
      <c r="C88" s="11" t="s">
        <v>15</v>
      </c>
      <c r="D88" s="73">
        <f>8*8*9</f>
        <v>576</v>
      </c>
      <c r="E88" s="70"/>
      <c r="F88" s="57">
        <f t="shared" si="4"/>
        <v>0</v>
      </c>
    </row>
    <row r="89" spans="1:6" ht="45" x14ac:dyDescent="0.25">
      <c r="A89" s="11">
        <v>10</v>
      </c>
      <c r="B89" s="12" t="s">
        <v>62</v>
      </c>
      <c r="C89" s="13" t="s">
        <v>15</v>
      </c>
      <c r="D89" s="74">
        <f>D88</f>
        <v>576</v>
      </c>
      <c r="E89" s="56"/>
      <c r="F89" s="57">
        <f t="shared" si="4"/>
        <v>0</v>
      </c>
    </row>
    <row r="90" spans="1:6" ht="120" x14ac:dyDescent="0.25">
      <c r="A90" s="11">
        <v>11</v>
      </c>
      <c r="B90" s="12" t="s">
        <v>63</v>
      </c>
      <c r="C90" s="11" t="s">
        <v>18</v>
      </c>
      <c r="D90" s="73">
        <f>8*8*9*0.08</f>
        <v>46.08</v>
      </c>
      <c r="E90" s="70"/>
      <c r="F90" s="57">
        <f t="shared" si="4"/>
        <v>0</v>
      </c>
    </row>
    <row r="91" spans="1:6" ht="90" x14ac:dyDescent="0.25">
      <c r="A91" s="11">
        <v>12</v>
      </c>
      <c r="B91" s="12" t="s">
        <v>130</v>
      </c>
      <c r="C91" s="13" t="s">
        <v>18</v>
      </c>
      <c r="D91" s="11">
        <f>(9*2+17)*(3.2*0.2*0.2)</f>
        <v>4.4800000000000013</v>
      </c>
      <c r="E91" s="94"/>
      <c r="F91" s="57">
        <f t="shared" si="4"/>
        <v>0</v>
      </c>
    </row>
    <row r="92" spans="1:6" ht="45" x14ac:dyDescent="0.25">
      <c r="A92" s="11">
        <v>13</v>
      </c>
      <c r="B92" s="12" t="s">
        <v>64</v>
      </c>
      <c r="C92" s="13" t="s">
        <v>15</v>
      </c>
      <c r="D92" s="13">
        <f>(8*8*2+7*9)*3.2-(5*1.2*1.2+1.2*2.1)*8</f>
        <v>533.44000000000005</v>
      </c>
      <c r="E92" s="70"/>
      <c r="F92" s="57">
        <f t="shared" si="4"/>
        <v>0</v>
      </c>
    </row>
    <row r="93" spans="1:6" ht="90" x14ac:dyDescent="0.25">
      <c r="A93" s="11">
        <v>14</v>
      </c>
      <c r="B93" s="12" t="s">
        <v>65</v>
      </c>
      <c r="C93" s="13" t="s">
        <v>18</v>
      </c>
      <c r="D93" s="13">
        <f>(8*8*1.75)*0.2*0.15</f>
        <v>3.3600000000000003</v>
      </c>
      <c r="E93" s="94"/>
      <c r="F93" s="57">
        <f>D93*E93</f>
        <v>0</v>
      </c>
    </row>
    <row r="94" spans="1:6" ht="90" x14ac:dyDescent="0.25">
      <c r="A94" s="11">
        <v>15</v>
      </c>
      <c r="B94" s="12" t="s">
        <v>66</v>
      </c>
      <c r="C94" s="13" t="s">
        <v>18</v>
      </c>
      <c r="D94" s="13">
        <f>(8*8.4*2+7.2*9)*0.2*0.2</f>
        <v>7.9680000000000009</v>
      </c>
      <c r="E94" s="94"/>
      <c r="F94" s="57">
        <f>D94*E94</f>
        <v>0</v>
      </c>
    </row>
    <row r="95" spans="1:6" ht="90" x14ac:dyDescent="0.25">
      <c r="A95" s="11">
        <v>16</v>
      </c>
      <c r="B95" s="12" t="s">
        <v>67</v>
      </c>
      <c r="C95" s="11" t="s">
        <v>18</v>
      </c>
      <c r="D95" s="13">
        <f>(8*8.2*3+9*9)*0.2*0.3</f>
        <v>16.667999999999999</v>
      </c>
      <c r="E95" s="70"/>
      <c r="F95" s="57">
        <f t="shared" si="4"/>
        <v>0</v>
      </c>
    </row>
    <row r="96" spans="1:6" ht="135" x14ac:dyDescent="0.25">
      <c r="A96" s="11">
        <v>17</v>
      </c>
      <c r="B96" s="12" t="s">
        <v>131</v>
      </c>
      <c r="C96" s="11" t="s">
        <v>15</v>
      </c>
      <c r="D96" s="11">
        <f>8*8.3*9.6*1.5</f>
        <v>956.16000000000008</v>
      </c>
      <c r="E96" s="70"/>
      <c r="F96" s="57">
        <f t="shared" si="4"/>
        <v>0</v>
      </c>
    </row>
    <row r="97" spans="1:6" ht="60" x14ac:dyDescent="0.25">
      <c r="A97" s="11">
        <v>18</v>
      </c>
      <c r="B97" s="12" t="s">
        <v>70</v>
      </c>
      <c r="C97" s="11" t="s">
        <v>15</v>
      </c>
      <c r="D97" s="73">
        <f>D89</f>
        <v>576</v>
      </c>
      <c r="E97" s="70"/>
      <c r="F97" s="57">
        <f t="shared" si="4"/>
        <v>0</v>
      </c>
    </row>
    <row r="98" spans="1:6" ht="75" x14ac:dyDescent="0.25">
      <c r="A98" s="11">
        <v>19</v>
      </c>
      <c r="B98" s="12" t="s">
        <v>71</v>
      </c>
      <c r="C98" s="16" t="s">
        <v>24</v>
      </c>
      <c r="D98" s="16">
        <v>1</v>
      </c>
      <c r="E98" s="56"/>
      <c r="F98" s="57">
        <f t="shared" si="4"/>
        <v>0</v>
      </c>
    </row>
    <row r="99" spans="1:6" ht="45" x14ac:dyDescent="0.25">
      <c r="A99" s="11">
        <v>20</v>
      </c>
      <c r="B99" s="76" t="s">
        <v>72</v>
      </c>
      <c r="C99" s="77" t="s">
        <v>15</v>
      </c>
      <c r="D99" s="13">
        <f>(8*8*2+7*8*2)*3.4-(5*1.2*1.2+1.2*2.1)*8</f>
        <v>738.24</v>
      </c>
      <c r="E99" s="122"/>
      <c r="F99" s="57">
        <f t="shared" si="4"/>
        <v>0</v>
      </c>
    </row>
    <row r="100" spans="1:6" ht="45" x14ac:dyDescent="0.25">
      <c r="A100" s="11">
        <v>21</v>
      </c>
      <c r="B100" s="76" t="s">
        <v>73</v>
      </c>
      <c r="C100" s="77" t="s">
        <v>15</v>
      </c>
      <c r="D100" s="13">
        <f>(8*8.3*2.2+7.4*2.3)*4-(5*1.2*1.2+1.2*2.1)*8</f>
        <v>574.6400000000001</v>
      </c>
      <c r="E100" s="122"/>
      <c r="F100" s="57">
        <f>D100*E100</f>
        <v>0</v>
      </c>
    </row>
    <row r="101" spans="1:6" ht="60" x14ac:dyDescent="0.25">
      <c r="A101" s="11">
        <v>22</v>
      </c>
      <c r="B101" s="76" t="s">
        <v>178</v>
      </c>
      <c r="C101" s="77" t="s">
        <v>15</v>
      </c>
      <c r="D101" s="16">
        <f>D99</f>
        <v>738.24</v>
      </c>
      <c r="E101" s="122"/>
      <c r="F101" s="57">
        <f t="shared" si="4"/>
        <v>0</v>
      </c>
    </row>
    <row r="102" spans="1:6" ht="45" x14ac:dyDescent="0.25">
      <c r="A102" s="11">
        <v>23</v>
      </c>
      <c r="B102" s="76" t="s">
        <v>74</v>
      </c>
      <c r="C102" s="11" t="s">
        <v>15</v>
      </c>
      <c r="D102" s="77">
        <f>D100</f>
        <v>574.6400000000001</v>
      </c>
      <c r="E102" s="122"/>
      <c r="F102" s="57">
        <f t="shared" si="4"/>
        <v>0</v>
      </c>
    </row>
    <row r="103" spans="1:6" ht="45" x14ac:dyDescent="0.25">
      <c r="A103" s="11">
        <v>24</v>
      </c>
      <c r="B103" s="123" t="s">
        <v>132</v>
      </c>
      <c r="C103" s="30" t="s">
        <v>22</v>
      </c>
      <c r="D103" s="13">
        <v>8</v>
      </c>
      <c r="E103" s="94"/>
      <c r="F103" s="57">
        <f t="shared" si="4"/>
        <v>0</v>
      </c>
    </row>
    <row r="104" spans="1:6" ht="165" x14ac:dyDescent="0.25">
      <c r="A104" s="11">
        <v>25</v>
      </c>
      <c r="B104" s="20" t="s">
        <v>76</v>
      </c>
      <c r="C104" s="30" t="s">
        <v>22</v>
      </c>
      <c r="D104" s="11">
        <f>8*5</f>
        <v>40</v>
      </c>
      <c r="E104" s="70"/>
      <c r="F104" s="57">
        <f t="shared" si="4"/>
        <v>0</v>
      </c>
    </row>
    <row r="105" spans="1:6" ht="75" x14ac:dyDescent="0.25">
      <c r="A105" s="11">
        <v>26</v>
      </c>
      <c r="B105" s="21" t="s">
        <v>25</v>
      </c>
      <c r="C105" s="124" t="s">
        <v>22</v>
      </c>
      <c r="D105" s="30">
        <v>2</v>
      </c>
      <c r="E105" s="125"/>
      <c r="F105" s="57">
        <f t="shared" si="4"/>
        <v>0</v>
      </c>
    </row>
    <row r="106" spans="1:6" ht="30" x14ac:dyDescent="0.25">
      <c r="A106" s="11">
        <v>27</v>
      </c>
      <c r="B106" s="21" t="s">
        <v>133</v>
      </c>
      <c r="C106" s="13" t="s">
        <v>20</v>
      </c>
      <c r="D106" s="13">
        <v>8</v>
      </c>
      <c r="E106" s="13"/>
      <c r="F106" s="57">
        <f t="shared" si="4"/>
        <v>0</v>
      </c>
    </row>
    <row r="107" spans="1:6" ht="15.75" x14ac:dyDescent="0.25">
      <c r="A107" s="34"/>
      <c r="B107" s="223" t="s">
        <v>134</v>
      </c>
      <c r="C107" s="224"/>
      <c r="D107" s="224"/>
      <c r="E107" s="225"/>
      <c r="F107" s="35">
        <f>SUM(F80:F106)</f>
        <v>0</v>
      </c>
    </row>
    <row r="108" spans="1:6" x14ac:dyDescent="0.25">
      <c r="A108" s="30"/>
      <c r="B108" s="42"/>
      <c r="C108" s="43"/>
      <c r="D108" s="126"/>
      <c r="E108" s="46"/>
      <c r="F108" s="127"/>
    </row>
    <row r="109" spans="1:6" x14ac:dyDescent="0.25">
      <c r="A109" s="24" t="s">
        <v>78</v>
      </c>
      <c r="B109" s="128" t="s">
        <v>40</v>
      </c>
      <c r="C109" s="129"/>
      <c r="D109" s="130"/>
      <c r="E109" s="51"/>
      <c r="F109" s="52"/>
    </row>
    <row r="110" spans="1:6" ht="90" x14ac:dyDescent="0.25">
      <c r="A110" s="11">
        <v>1</v>
      </c>
      <c r="B110" s="131" t="s">
        <v>41</v>
      </c>
      <c r="C110" s="132" t="s">
        <v>42</v>
      </c>
      <c r="D110" s="133">
        <v>1</v>
      </c>
      <c r="E110" s="56"/>
      <c r="F110" s="57">
        <f t="shared" ref="F110" si="5">D110*E110</f>
        <v>0</v>
      </c>
    </row>
    <row r="111" spans="1:6" ht="15.75" x14ac:dyDescent="0.25">
      <c r="A111" s="34"/>
      <c r="B111" s="223" t="s">
        <v>43</v>
      </c>
      <c r="C111" s="224"/>
      <c r="D111" s="224"/>
      <c r="E111" s="225"/>
      <c r="F111" s="58">
        <f>SUM(F110)</f>
        <v>0</v>
      </c>
    </row>
    <row r="112" spans="1:6" x14ac:dyDescent="0.25">
      <c r="A112" s="195"/>
      <c r="B112" s="236" t="s">
        <v>170</v>
      </c>
      <c r="C112" s="236"/>
      <c r="D112" s="236"/>
      <c r="E112" s="236"/>
      <c r="F112" s="196"/>
    </row>
    <row r="113" spans="1:6" ht="15.75" x14ac:dyDescent="0.25">
      <c r="A113" s="36" t="s">
        <v>11</v>
      </c>
      <c r="B113" s="232" t="str">
        <f>B63</f>
        <v>Subtotal for two twin latrine</v>
      </c>
      <c r="C113" s="232"/>
      <c r="D113" s="232"/>
      <c r="E113" s="16"/>
      <c r="F113" s="200">
        <f>F63</f>
        <v>0</v>
      </c>
    </row>
    <row r="114" spans="1:6" ht="15.75" x14ac:dyDescent="0.25">
      <c r="A114" s="36" t="s">
        <v>39</v>
      </c>
      <c r="B114" s="233" t="str">
        <f>B76</f>
        <v xml:space="preserve">One Ground Water Tank </v>
      </c>
      <c r="C114" s="234"/>
      <c r="D114" s="235"/>
      <c r="E114" s="16"/>
      <c r="F114" s="200">
        <f>F76</f>
        <v>0</v>
      </c>
    </row>
    <row r="115" spans="1:6" ht="15.75" x14ac:dyDescent="0.25">
      <c r="A115" s="36" t="s">
        <v>27</v>
      </c>
      <c r="B115" s="232" t="str">
        <f>B107</f>
        <v>Subtotal for 8 new classrooms</v>
      </c>
      <c r="C115" s="232"/>
      <c r="D115" s="232"/>
      <c r="E115" s="16"/>
      <c r="F115" s="200">
        <f>F107</f>
        <v>0</v>
      </c>
    </row>
    <row r="116" spans="1:6" ht="15.75" x14ac:dyDescent="0.25">
      <c r="A116" s="36" t="s">
        <v>78</v>
      </c>
      <c r="B116" s="232" t="str">
        <f>B111</f>
        <v xml:space="preserve">Subtotal for visibility </v>
      </c>
      <c r="C116" s="232"/>
      <c r="D116" s="232"/>
      <c r="E116" s="16"/>
      <c r="F116" s="200">
        <f>F111</f>
        <v>0</v>
      </c>
    </row>
    <row r="117" spans="1:6" ht="16.5" thickBot="1" x14ac:dyDescent="0.3">
      <c r="A117" s="60"/>
      <c r="B117" s="226" t="s">
        <v>44</v>
      </c>
      <c r="C117" s="227"/>
      <c r="D117" s="227"/>
      <c r="E117" s="228"/>
      <c r="F117" s="201">
        <f>F116+F115+F114+F113</f>
        <v>0</v>
      </c>
    </row>
    <row r="118" spans="1:6" ht="15.75" thickBot="1" x14ac:dyDescent="0.3">
      <c r="A118" s="62"/>
      <c r="B118" s="63"/>
      <c r="C118" s="64"/>
      <c r="D118" s="64"/>
      <c r="E118" s="64"/>
      <c r="F118" s="65"/>
    </row>
    <row r="119" spans="1:6" x14ac:dyDescent="0.25">
      <c r="A119" s="66"/>
      <c r="B119" s="67" t="s">
        <v>45</v>
      </c>
      <c r="C119" s="229"/>
      <c r="D119" s="230"/>
      <c r="E119" s="230"/>
      <c r="F119" s="231"/>
    </row>
    <row r="120" spans="1:6" x14ac:dyDescent="0.25">
      <c r="A120" s="66"/>
      <c r="B120" s="67" t="s">
        <v>46</v>
      </c>
      <c r="C120" s="214"/>
      <c r="D120" s="215"/>
      <c r="E120" s="215"/>
      <c r="F120" s="216"/>
    </row>
    <row r="121" spans="1:6" x14ac:dyDescent="0.25">
      <c r="A121" s="66"/>
      <c r="B121" s="67" t="s">
        <v>47</v>
      </c>
      <c r="C121" s="214"/>
      <c r="D121" s="215"/>
      <c r="E121" s="215"/>
      <c r="F121" s="216"/>
    </row>
    <row r="122" spans="1:6" ht="15.75" thickBot="1" x14ac:dyDescent="0.3">
      <c r="A122" s="66"/>
      <c r="B122" s="67" t="s">
        <v>48</v>
      </c>
      <c r="C122" s="217"/>
      <c r="D122" s="218"/>
      <c r="E122" s="218"/>
      <c r="F122" s="219"/>
    </row>
    <row r="123" spans="1:6" x14ac:dyDescent="0.25">
      <c r="A123" s="62"/>
      <c r="B123" s="63"/>
      <c r="C123" s="64"/>
      <c r="D123" s="64"/>
      <c r="E123" s="64"/>
      <c r="F123" s="65"/>
    </row>
  </sheetData>
  <mergeCells count="18">
    <mergeCell ref="B76:E76"/>
    <mergeCell ref="B1:F1"/>
    <mergeCell ref="B2:F2"/>
    <mergeCell ref="B3:F3"/>
    <mergeCell ref="B62:E62"/>
    <mergeCell ref="B63:E63"/>
    <mergeCell ref="C120:F120"/>
    <mergeCell ref="C121:F122"/>
    <mergeCell ref="A79:F79"/>
    <mergeCell ref="B107:E107"/>
    <mergeCell ref="B111:E111"/>
    <mergeCell ref="B117:E117"/>
    <mergeCell ref="C119:F119"/>
    <mergeCell ref="B113:D113"/>
    <mergeCell ref="B114:D114"/>
    <mergeCell ref="B115:D115"/>
    <mergeCell ref="B116:D116"/>
    <mergeCell ref="B112:E11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B8DB5-0DA4-4FF3-B5AA-4F6D6235A789}">
  <dimension ref="A1:G46"/>
  <sheetViews>
    <sheetView view="pageBreakPreview" topLeftCell="A9" zoomScale="93" zoomScaleNormal="100" zoomScaleSheetLayoutView="93" workbookViewId="0">
      <selection activeCell="B10" sqref="B10"/>
    </sheetView>
  </sheetViews>
  <sheetFormatPr defaultRowHeight="15" x14ac:dyDescent="0.25"/>
  <cols>
    <col min="1" max="1" width="11.28515625" customWidth="1"/>
    <col min="2" max="2" width="34.85546875" customWidth="1"/>
    <col min="3" max="3" width="6.5703125" customWidth="1"/>
    <col min="4" max="4" width="10.28515625" customWidth="1"/>
    <col min="5" max="5" width="11.42578125" customWidth="1"/>
    <col min="6" max="6" width="16.140625" customWidth="1"/>
    <col min="7" max="7" width="10" bestFit="1" customWidth="1"/>
  </cols>
  <sheetData>
    <row r="1" spans="1:6" ht="20.25" thickBot="1" x14ac:dyDescent="0.45">
      <c r="A1" s="1" t="s">
        <v>0</v>
      </c>
      <c r="B1" s="261" t="s">
        <v>1</v>
      </c>
      <c r="C1" s="262"/>
      <c r="D1" s="262"/>
      <c r="E1" s="262"/>
      <c r="F1" s="263"/>
    </row>
    <row r="2" spans="1:6" ht="20.25" thickBot="1" x14ac:dyDescent="0.45">
      <c r="A2" s="1" t="s">
        <v>2</v>
      </c>
      <c r="B2" s="261" t="s">
        <v>3</v>
      </c>
      <c r="C2" s="262"/>
      <c r="D2" s="262"/>
      <c r="E2" s="262"/>
      <c r="F2" s="263"/>
    </row>
    <row r="3" spans="1:6" ht="20.25" thickBot="1" x14ac:dyDescent="0.45">
      <c r="A3" s="2" t="s">
        <v>4</v>
      </c>
      <c r="B3" s="261" t="s">
        <v>167</v>
      </c>
      <c r="C3" s="262"/>
      <c r="D3" s="262"/>
      <c r="E3" s="262"/>
      <c r="F3" s="263"/>
    </row>
    <row r="4" spans="1:6" ht="18" thickTop="1" x14ac:dyDescent="0.25">
      <c r="A4" s="3" t="s">
        <v>5</v>
      </c>
      <c r="B4" s="4" t="s">
        <v>6</v>
      </c>
      <c r="C4" s="5" t="s">
        <v>7</v>
      </c>
      <c r="D4" s="5" t="s">
        <v>8</v>
      </c>
      <c r="E4" s="5" t="s">
        <v>9</v>
      </c>
      <c r="F4" s="6" t="s">
        <v>10</v>
      </c>
    </row>
    <row r="5" spans="1:6" ht="19.5" x14ac:dyDescent="0.25">
      <c r="A5" s="7" t="s">
        <v>11</v>
      </c>
      <c r="B5" s="8" t="s">
        <v>12</v>
      </c>
      <c r="C5" s="9"/>
      <c r="D5" s="9"/>
      <c r="E5" s="9"/>
      <c r="F5" s="10"/>
    </row>
    <row r="6" spans="1:6" x14ac:dyDescent="0.25">
      <c r="A6" s="220" t="s">
        <v>13</v>
      </c>
      <c r="B6" s="221"/>
      <c r="C6" s="221"/>
      <c r="D6" s="221"/>
      <c r="E6" s="221"/>
      <c r="F6" s="222"/>
    </row>
    <row r="7" spans="1:6" ht="210" x14ac:dyDescent="0.25">
      <c r="A7" s="11">
        <v>1</v>
      </c>
      <c r="B7" s="12" t="s">
        <v>14</v>
      </c>
      <c r="C7" s="13" t="s">
        <v>15</v>
      </c>
      <c r="D7" s="13">
        <f>6*(8*9)*1.5</f>
        <v>648</v>
      </c>
      <c r="E7" s="13"/>
      <c r="F7" s="14">
        <f t="shared" ref="F7:F9" si="0">D7*E7</f>
        <v>0</v>
      </c>
    </row>
    <row r="8" spans="1:6" ht="60" x14ac:dyDescent="0.25">
      <c r="A8" s="15">
        <v>2</v>
      </c>
      <c r="B8" s="12" t="s">
        <v>16</v>
      </c>
      <c r="C8" s="13" t="s">
        <v>15</v>
      </c>
      <c r="D8" s="13">
        <f>6*(8*9)</f>
        <v>432</v>
      </c>
      <c r="E8" s="13"/>
      <c r="F8" s="14">
        <f t="shared" si="0"/>
        <v>0</v>
      </c>
    </row>
    <row r="9" spans="1:6" ht="135" x14ac:dyDescent="0.25">
      <c r="A9" s="11">
        <v>3</v>
      </c>
      <c r="B9" s="12" t="s">
        <v>17</v>
      </c>
      <c r="C9" s="16" t="s">
        <v>18</v>
      </c>
      <c r="D9" s="16">
        <f>8*9*6*0.08</f>
        <v>34.56</v>
      </c>
      <c r="E9" s="16"/>
      <c r="F9" s="17">
        <f t="shared" si="0"/>
        <v>0</v>
      </c>
    </row>
    <row r="10" spans="1:6" ht="103.5" customHeight="1" x14ac:dyDescent="0.25">
      <c r="A10" s="15">
        <v>4</v>
      </c>
      <c r="B10" s="18" t="s">
        <v>179</v>
      </c>
      <c r="C10" s="19" t="s">
        <v>15</v>
      </c>
      <c r="D10" s="19">
        <f>(6*(8*2+7*2)*1.7)*3.4</f>
        <v>1040.3999999999999</v>
      </c>
      <c r="E10" s="19"/>
      <c r="F10" s="14">
        <f>D10*E10</f>
        <v>0</v>
      </c>
    </row>
    <row r="11" spans="1:6" ht="180" x14ac:dyDescent="0.25">
      <c r="A11" s="11">
        <v>5</v>
      </c>
      <c r="B11" s="20" t="s">
        <v>19</v>
      </c>
      <c r="C11" s="13" t="s">
        <v>20</v>
      </c>
      <c r="D11" s="13">
        <f>6*5</f>
        <v>30</v>
      </c>
      <c r="E11" s="13"/>
      <c r="F11" s="14">
        <f>D11*E11</f>
        <v>0</v>
      </c>
    </row>
    <row r="12" spans="1:6" ht="135" x14ac:dyDescent="0.25">
      <c r="A12" s="15">
        <v>6</v>
      </c>
      <c r="B12" s="20" t="s">
        <v>21</v>
      </c>
      <c r="C12" s="13" t="s">
        <v>22</v>
      </c>
      <c r="D12" s="13">
        <v>6</v>
      </c>
      <c r="E12" s="13"/>
      <c r="F12" s="14">
        <f>D12*E12</f>
        <v>0</v>
      </c>
    </row>
    <row r="13" spans="1:6" ht="60" x14ac:dyDescent="0.25">
      <c r="A13" s="11">
        <v>7</v>
      </c>
      <c r="B13" s="20" t="s">
        <v>23</v>
      </c>
      <c r="C13" s="13" t="s">
        <v>24</v>
      </c>
      <c r="D13" s="13">
        <v>1</v>
      </c>
      <c r="E13" s="13"/>
      <c r="F13" s="14">
        <f t="shared" ref="F13:F15" si="1">D13*E13</f>
        <v>0</v>
      </c>
    </row>
    <row r="14" spans="1:6" ht="75" x14ac:dyDescent="0.25">
      <c r="A14" s="15">
        <v>8</v>
      </c>
      <c r="B14" s="21" t="s">
        <v>25</v>
      </c>
      <c r="C14" s="13" t="s">
        <v>20</v>
      </c>
      <c r="D14" s="13">
        <v>2</v>
      </c>
      <c r="E14" s="13"/>
      <c r="F14" s="14">
        <f t="shared" si="1"/>
        <v>0</v>
      </c>
    </row>
    <row r="15" spans="1:6" ht="30" x14ac:dyDescent="0.25">
      <c r="A15" s="15">
        <v>8</v>
      </c>
      <c r="B15" s="21" t="s">
        <v>26</v>
      </c>
      <c r="C15" s="13" t="s">
        <v>20</v>
      </c>
      <c r="D15" s="13">
        <v>6</v>
      </c>
      <c r="E15" s="13"/>
      <c r="F15" s="14">
        <f t="shared" si="1"/>
        <v>0</v>
      </c>
    </row>
    <row r="16" spans="1:6" ht="15.75" x14ac:dyDescent="0.25">
      <c r="A16" s="22"/>
      <c r="B16" s="264" t="s">
        <v>168</v>
      </c>
      <c r="C16" s="265"/>
      <c r="D16" s="265"/>
      <c r="E16" s="266"/>
      <c r="F16" s="23">
        <f>SUM(F6:F15)</f>
        <v>0</v>
      </c>
    </row>
    <row r="17" spans="1:7" x14ac:dyDescent="0.25">
      <c r="A17" s="15"/>
      <c r="B17" s="20"/>
      <c r="C17" s="13"/>
      <c r="D17" s="13"/>
      <c r="E17" s="13"/>
      <c r="F17" s="14"/>
    </row>
    <row r="18" spans="1:7" x14ac:dyDescent="0.25">
      <c r="A18" s="24" t="s">
        <v>39</v>
      </c>
      <c r="B18" s="25" t="s">
        <v>169</v>
      </c>
      <c r="C18" s="26"/>
      <c r="D18" s="26"/>
      <c r="E18" s="26"/>
      <c r="F18" s="27"/>
    </row>
    <row r="19" spans="1:7" ht="30" x14ac:dyDescent="0.25">
      <c r="A19" s="11">
        <v>1</v>
      </c>
      <c r="B19" s="12" t="s">
        <v>28</v>
      </c>
      <c r="C19" s="16" t="s">
        <v>15</v>
      </c>
      <c r="D19" s="16">
        <f>(2*2+2*3)*2.7</f>
        <v>27</v>
      </c>
      <c r="E19" s="16"/>
      <c r="F19" s="14">
        <f t="shared" ref="F19:F24" si="2">D19*E19</f>
        <v>0</v>
      </c>
    </row>
    <row r="20" spans="1:7" ht="45" x14ac:dyDescent="0.25">
      <c r="A20" s="15">
        <v>2</v>
      </c>
      <c r="B20" s="12" t="s">
        <v>29</v>
      </c>
      <c r="C20" s="28" t="s">
        <v>15</v>
      </c>
      <c r="D20" s="28">
        <f>2*(4*2+2*2)*2.7</f>
        <v>64.800000000000011</v>
      </c>
      <c r="E20" s="28"/>
      <c r="F20" s="14">
        <f t="shared" si="2"/>
        <v>0</v>
      </c>
    </row>
    <row r="21" spans="1:7" ht="45" x14ac:dyDescent="0.25">
      <c r="A21" s="11">
        <v>3</v>
      </c>
      <c r="B21" s="12" t="s">
        <v>30</v>
      </c>
      <c r="C21" s="13" t="s">
        <v>15</v>
      </c>
      <c r="D21" s="13">
        <f>2*3*2</f>
        <v>12</v>
      </c>
      <c r="E21" s="13"/>
      <c r="F21" s="14">
        <f t="shared" si="2"/>
        <v>0</v>
      </c>
    </row>
    <row r="22" spans="1:7" ht="45" x14ac:dyDescent="0.25">
      <c r="A22" s="15">
        <v>4</v>
      </c>
      <c r="B22" s="12" t="s">
        <v>31</v>
      </c>
      <c r="C22" s="13" t="s">
        <v>15</v>
      </c>
      <c r="D22" s="13">
        <f>(4*2*2)*1.5</f>
        <v>24</v>
      </c>
      <c r="E22" s="13"/>
      <c r="F22" s="14">
        <f t="shared" si="2"/>
        <v>0</v>
      </c>
    </row>
    <row r="23" spans="1:7" ht="45" x14ac:dyDescent="0.25">
      <c r="A23" s="11">
        <v>5</v>
      </c>
      <c r="B23" s="12" t="s">
        <v>32</v>
      </c>
      <c r="C23" s="13" t="s">
        <v>22</v>
      </c>
      <c r="D23" s="29">
        <v>2</v>
      </c>
      <c r="E23" s="13"/>
      <c r="F23" s="14">
        <f t="shared" si="2"/>
        <v>0</v>
      </c>
    </row>
    <row r="24" spans="1:7" ht="45" x14ac:dyDescent="0.25">
      <c r="A24" s="15">
        <v>6</v>
      </c>
      <c r="B24" s="12" t="s">
        <v>33</v>
      </c>
      <c r="C24" s="13" t="s">
        <v>22</v>
      </c>
      <c r="D24" s="29">
        <v>2</v>
      </c>
      <c r="E24" s="13"/>
      <c r="F24" s="14">
        <f t="shared" si="2"/>
        <v>0</v>
      </c>
    </row>
    <row r="25" spans="1:7" ht="45" x14ac:dyDescent="0.25">
      <c r="A25" s="11">
        <v>7</v>
      </c>
      <c r="B25" s="12" t="s">
        <v>34</v>
      </c>
      <c r="C25" s="13" t="s">
        <v>22</v>
      </c>
      <c r="D25" s="13">
        <v>2</v>
      </c>
      <c r="E25" s="13"/>
      <c r="F25" s="14">
        <f>D25*E25</f>
        <v>0</v>
      </c>
    </row>
    <row r="26" spans="1:7" ht="45" x14ac:dyDescent="0.25">
      <c r="A26" s="15">
        <v>8</v>
      </c>
      <c r="B26" s="12" t="s">
        <v>35</v>
      </c>
      <c r="C26" s="13" t="s">
        <v>22</v>
      </c>
      <c r="D26" s="13">
        <v>2</v>
      </c>
      <c r="E26" s="13"/>
      <c r="F26" s="14">
        <f>D26*E26</f>
        <v>0</v>
      </c>
    </row>
    <row r="27" spans="1:7" ht="45" x14ac:dyDescent="0.25">
      <c r="A27" s="30">
        <v>9</v>
      </c>
      <c r="B27" s="31" t="s">
        <v>36</v>
      </c>
      <c r="C27" s="29" t="s">
        <v>15</v>
      </c>
      <c r="D27" s="13">
        <f>2*(2*2)*1.5</f>
        <v>12</v>
      </c>
      <c r="E27" s="13"/>
      <c r="F27" s="14">
        <f>E27*D27</f>
        <v>0</v>
      </c>
    </row>
    <row r="28" spans="1:7" ht="60" x14ac:dyDescent="0.25">
      <c r="A28" s="32">
        <v>10</v>
      </c>
      <c r="B28" s="33" t="s">
        <v>37</v>
      </c>
      <c r="C28" s="29" t="s">
        <v>38</v>
      </c>
      <c r="D28" s="16">
        <v>1</v>
      </c>
      <c r="E28" s="13"/>
      <c r="F28" s="14">
        <f>E28*D28</f>
        <v>0</v>
      </c>
      <c r="G28" s="194"/>
    </row>
    <row r="29" spans="1:7" x14ac:dyDescent="0.25">
      <c r="A29" s="34"/>
      <c r="B29" s="246" t="s">
        <v>171</v>
      </c>
      <c r="C29" s="247"/>
      <c r="D29" s="247"/>
      <c r="E29" s="248"/>
      <c r="F29" s="35">
        <f>SUM(F19:F28)</f>
        <v>0</v>
      </c>
    </row>
    <row r="30" spans="1:7" x14ac:dyDescent="0.25">
      <c r="A30" s="11"/>
      <c r="B30" s="12"/>
      <c r="C30" s="16"/>
      <c r="D30" s="16"/>
      <c r="E30" s="47"/>
      <c r="F30" s="14"/>
    </row>
    <row r="31" spans="1:7" x14ac:dyDescent="0.25">
      <c r="A31" s="24" t="s">
        <v>27</v>
      </c>
      <c r="B31" s="48" t="s">
        <v>40</v>
      </c>
      <c r="C31" s="49"/>
      <c r="D31" s="50"/>
      <c r="E31" s="51"/>
      <c r="F31" s="52"/>
    </row>
    <row r="32" spans="1:7" ht="90" x14ac:dyDescent="0.25">
      <c r="A32" s="11">
        <v>1</v>
      </c>
      <c r="B32" s="53" t="s">
        <v>41</v>
      </c>
      <c r="C32" s="54" t="s">
        <v>42</v>
      </c>
      <c r="D32" s="55">
        <v>1</v>
      </c>
      <c r="E32" s="56"/>
      <c r="F32" s="57">
        <f t="shared" ref="F32" si="3">D32*E32</f>
        <v>0</v>
      </c>
    </row>
    <row r="33" spans="1:6" x14ac:dyDescent="0.25">
      <c r="A33" s="34"/>
      <c r="B33" s="246" t="s">
        <v>43</v>
      </c>
      <c r="C33" s="247"/>
      <c r="D33" s="247"/>
      <c r="E33" s="248"/>
      <c r="F33" s="58">
        <f>SUM(F32)</f>
        <v>0</v>
      </c>
    </row>
    <row r="34" spans="1:6" x14ac:dyDescent="0.25">
      <c r="A34" s="41"/>
      <c r="B34" s="42"/>
      <c r="C34" s="43"/>
      <c r="D34" s="43"/>
      <c r="E34" s="126"/>
      <c r="F34" s="45"/>
    </row>
    <row r="35" spans="1:6" x14ac:dyDescent="0.25">
      <c r="A35" s="195"/>
      <c r="B35" s="236" t="s">
        <v>170</v>
      </c>
      <c r="C35" s="236"/>
      <c r="D35" s="236"/>
      <c r="E35" s="236"/>
      <c r="F35" s="197"/>
    </row>
    <row r="36" spans="1:6" ht="15.75" x14ac:dyDescent="0.25">
      <c r="A36" s="36" t="s">
        <v>11</v>
      </c>
      <c r="B36" s="252" t="str">
        <f>B16</f>
        <v>Subtotal for 6 classrooms rehabs</v>
      </c>
      <c r="C36" s="253"/>
      <c r="D36" s="253"/>
      <c r="E36" s="254"/>
      <c r="F36" s="199">
        <f>F16</f>
        <v>0</v>
      </c>
    </row>
    <row r="37" spans="1:6" ht="15.75" x14ac:dyDescent="0.25">
      <c r="A37" s="36" t="s">
        <v>39</v>
      </c>
      <c r="B37" s="255" t="str">
        <f>B29</f>
        <v>Subtotal for 2 Wash facilities rehab</v>
      </c>
      <c r="C37" s="256"/>
      <c r="D37" s="256"/>
      <c r="E37" s="257"/>
      <c r="F37" s="199">
        <f>F29</f>
        <v>0</v>
      </c>
    </row>
    <row r="38" spans="1:6" ht="15.75" x14ac:dyDescent="0.25">
      <c r="A38" s="36" t="s">
        <v>27</v>
      </c>
      <c r="B38" s="252" t="str">
        <f>B33</f>
        <v xml:space="preserve">Subtotal for visibility </v>
      </c>
      <c r="C38" s="253"/>
      <c r="D38" s="253"/>
      <c r="E38" s="254"/>
      <c r="F38" s="199">
        <f>F33</f>
        <v>0</v>
      </c>
    </row>
    <row r="39" spans="1:6" x14ac:dyDescent="0.25">
      <c r="A39" s="36"/>
      <c r="B39" s="258"/>
      <c r="C39" s="259"/>
      <c r="D39" s="259"/>
      <c r="E39" s="260"/>
      <c r="F39" s="59"/>
    </row>
    <row r="40" spans="1:6" ht="16.5" thickBot="1" x14ac:dyDescent="0.3">
      <c r="A40" s="60"/>
      <c r="B40" s="249" t="s">
        <v>44</v>
      </c>
      <c r="C40" s="250"/>
      <c r="D40" s="250"/>
      <c r="E40" s="251"/>
      <c r="F40" s="201">
        <f>F38+F37+F36</f>
        <v>0</v>
      </c>
    </row>
    <row r="41" spans="1:6" ht="15.75" thickBot="1" x14ac:dyDescent="0.3">
      <c r="A41" s="62"/>
      <c r="B41" s="63"/>
      <c r="C41" s="64"/>
      <c r="D41" s="64"/>
      <c r="E41" s="64"/>
      <c r="F41" s="65"/>
    </row>
    <row r="42" spans="1:6" x14ac:dyDescent="0.25">
      <c r="A42" s="66"/>
      <c r="B42" s="67" t="s">
        <v>45</v>
      </c>
      <c r="C42" s="229"/>
      <c r="D42" s="230"/>
      <c r="E42" s="230"/>
      <c r="F42" s="231"/>
    </row>
    <row r="43" spans="1:6" x14ac:dyDescent="0.25">
      <c r="A43" s="66"/>
      <c r="B43" s="67" t="s">
        <v>46</v>
      </c>
      <c r="C43" s="214"/>
      <c r="D43" s="215"/>
      <c r="E43" s="215"/>
      <c r="F43" s="216"/>
    </row>
    <row r="44" spans="1:6" x14ac:dyDescent="0.25">
      <c r="A44" s="66"/>
      <c r="B44" s="67" t="s">
        <v>47</v>
      </c>
      <c r="C44" s="214"/>
      <c r="D44" s="215"/>
      <c r="E44" s="215"/>
      <c r="F44" s="216"/>
    </row>
    <row r="45" spans="1:6" ht="15.75" thickBot="1" x14ac:dyDescent="0.3">
      <c r="A45" s="66"/>
      <c r="B45" s="67" t="s">
        <v>48</v>
      </c>
      <c r="C45" s="217"/>
      <c r="D45" s="218"/>
      <c r="E45" s="218"/>
      <c r="F45" s="219"/>
    </row>
    <row r="46" spans="1:6" x14ac:dyDescent="0.25">
      <c r="A46" s="62"/>
      <c r="B46" s="63"/>
      <c r="C46" s="64"/>
      <c r="D46" s="64"/>
      <c r="E46" s="64"/>
      <c r="F46" s="65"/>
    </row>
  </sheetData>
  <mergeCells count="16">
    <mergeCell ref="B29:E29"/>
    <mergeCell ref="B1:F1"/>
    <mergeCell ref="B2:F2"/>
    <mergeCell ref="B3:F3"/>
    <mergeCell ref="A6:F6"/>
    <mergeCell ref="B16:E16"/>
    <mergeCell ref="B33:E33"/>
    <mergeCell ref="B40:E40"/>
    <mergeCell ref="C42:F42"/>
    <mergeCell ref="C43:F43"/>
    <mergeCell ref="C44:F45"/>
    <mergeCell ref="B38:E38"/>
    <mergeCell ref="B35:E35"/>
    <mergeCell ref="B36:E36"/>
    <mergeCell ref="B37:E37"/>
    <mergeCell ref="B39:E39"/>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6FD57-4E9F-4964-BE2D-373AEB211F3C}">
  <dimension ref="A1:F62"/>
  <sheetViews>
    <sheetView view="pageBreakPreview" zoomScale="95" zoomScaleNormal="100" zoomScaleSheetLayoutView="95" workbookViewId="0">
      <selection activeCell="B43" sqref="B43"/>
    </sheetView>
  </sheetViews>
  <sheetFormatPr defaultRowHeight="15" x14ac:dyDescent="0.25"/>
  <cols>
    <col min="1" max="1" width="11.28515625" customWidth="1"/>
    <col min="2" max="2" width="34.85546875" customWidth="1"/>
    <col min="3" max="3" width="6.5703125" customWidth="1"/>
    <col min="4" max="4" width="10.28515625" customWidth="1"/>
    <col min="5" max="5" width="11.42578125" customWidth="1"/>
    <col min="6" max="6" width="16.140625" customWidth="1"/>
  </cols>
  <sheetData>
    <row r="1" spans="1:6" ht="20.25" thickBot="1" x14ac:dyDescent="0.45">
      <c r="A1" s="1" t="s">
        <v>0</v>
      </c>
      <c r="B1" s="261" t="s">
        <v>1</v>
      </c>
      <c r="C1" s="262"/>
      <c r="D1" s="262"/>
      <c r="E1" s="262"/>
      <c r="F1" s="263"/>
    </row>
    <row r="2" spans="1:6" ht="20.25" thickBot="1" x14ac:dyDescent="0.45">
      <c r="A2" s="1" t="s">
        <v>2</v>
      </c>
      <c r="B2" s="261" t="s">
        <v>173</v>
      </c>
      <c r="C2" s="262"/>
      <c r="D2" s="262"/>
      <c r="E2" s="262"/>
      <c r="F2" s="263"/>
    </row>
    <row r="3" spans="1:6" ht="20.25" thickBot="1" x14ac:dyDescent="0.45">
      <c r="A3" s="2" t="s">
        <v>4</v>
      </c>
      <c r="B3" s="261" t="s">
        <v>172</v>
      </c>
      <c r="C3" s="262"/>
      <c r="D3" s="262"/>
      <c r="E3" s="262"/>
      <c r="F3" s="263"/>
    </row>
    <row r="4" spans="1:6" ht="18" thickTop="1" x14ac:dyDescent="0.25">
      <c r="A4" s="3" t="s">
        <v>5</v>
      </c>
      <c r="B4" s="4" t="s">
        <v>6</v>
      </c>
      <c r="C4" s="5" t="s">
        <v>7</v>
      </c>
      <c r="D4" s="5" t="s">
        <v>8</v>
      </c>
      <c r="E4" s="5" t="s">
        <v>9</v>
      </c>
      <c r="F4" s="6" t="s">
        <v>10</v>
      </c>
    </row>
    <row r="5" spans="1:6" x14ac:dyDescent="0.25">
      <c r="A5" s="15"/>
      <c r="B5" s="20"/>
      <c r="C5" s="13"/>
      <c r="D5" s="13"/>
      <c r="E5" s="13"/>
      <c r="F5" s="14"/>
    </row>
    <row r="6" spans="1:6" x14ac:dyDescent="0.25">
      <c r="A6" s="24" t="s">
        <v>11</v>
      </c>
      <c r="B6" s="25" t="s">
        <v>49</v>
      </c>
      <c r="C6" s="26"/>
      <c r="D6" s="26"/>
      <c r="E6" s="26"/>
      <c r="F6" s="27"/>
    </row>
    <row r="7" spans="1:6" ht="30" x14ac:dyDescent="0.25">
      <c r="A7" s="11">
        <v>1</v>
      </c>
      <c r="B7" s="12" t="s">
        <v>28</v>
      </c>
      <c r="C7" s="16" t="s">
        <v>15</v>
      </c>
      <c r="D7" s="16">
        <f>(4*2+2*3)*2.7</f>
        <v>37.800000000000004</v>
      </c>
      <c r="E7" s="16"/>
      <c r="F7" s="14">
        <f t="shared" ref="F7:F12" si="0">D7*E7</f>
        <v>0</v>
      </c>
    </row>
    <row r="8" spans="1:6" ht="45" x14ac:dyDescent="0.25">
      <c r="A8" s="15">
        <v>2</v>
      </c>
      <c r="B8" s="12" t="s">
        <v>29</v>
      </c>
      <c r="C8" s="28" t="s">
        <v>15</v>
      </c>
      <c r="D8" s="28">
        <f>4*(4*2+2*2)*2.7</f>
        <v>129.60000000000002</v>
      </c>
      <c r="E8" s="28"/>
      <c r="F8" s="14">
        <f t="shared" si="0"/>
        <v>0</v>
      </c>
    </row>
    <row r="9" spans="1:6" ht="45" x14ac:dyDescent="0.25">
      <c r="A9" s="11">
        <v>3</v>
      </c>
      <c r="B9" s="12" t="s">
        <v>30</v>
      </c>
      <c r="C9" s="13" t="s">
        <v>15</v>
      </c>
      <c r="D9" s="13">
        <f>4*3*2</f>
        <v>24</v>
      </c>
      <c r="E9" s="13"/>
      <c r="F9" s="14">
        <f t="shared" si="0"/>
        <v>0</v>
      </c>
    </row>
    <row r="10" spans="1:6" ht="45" x14ac:dyDescent="0.25">
      <c r="A10" s="15">
        <v>4</v>
      </c>
      <c r="B10" s="12" t="s">
        <v>31</v>
      </c>
      <c r="C10" s="13" t="s">
        <v>15</v>
      </c>
      <c r="D10" s="13">
        <f>(4*4*2)*1.5</f>
        <v>48</v>
      </c>
      <c r="E10" s="13"/>
      <c r="F10" s="14">
        <f t="shared" si="0"/>
        <v>0</v>
      </c>
    </row>
    <row r="11" spans="1:6" ht="45" x14ac:dyDescent="0.25">
      <c r="A11" s="11">
        <v>5</v>
      </c>
      <c r="B11" s="12" t="s">
        <v>32</v>
      </c>
      <c r="C11" s="13" t="s">
        <v>22</v>
      </c>
      <c r="D11" s="29">
        <v>4</v>
      </c>
      <c r="E11" s="13"/>
      <c r="F11" s="14">
        <f t="shared" si="0"/>
        <v>0</v>
      </c>
    </row>
    <row r="12" spans="1:6" ht="45" x14ac:dyDescent="0.25">
      <c r="A12" s="15">
        <v>6</v>
      </c>
      <c r="B12" s="12" t="s">
        <v>33</v>
      </c>
      <c r="C12" s="13" t="s">
        <v>22</v>
      </c>
      <c r="D12" s="29">
        <v>4</v>
      </c>
      <c r="E12" s="13"/>
      <c r="F12" s="14">
        <f t="shared" si="0"/>
        <v>0</v>
      </c>
    </row>
    <row r="13" spans="1:6" ht="45" x14ac:dyDescent="0.25">
      <c r="A13" s="11">
        <v>7</v>
      </c>
      <c r="B13" s="12" t="s">
        <v>34</v>
      </c>
      <c r="C13" s="13" t="s">
        <v>22</v>
      </c>
      <c r="D13" s="13">
        <v>4</v>
      </c>
      <c r="E13" s="13"/>
      <c r="F13" s="14">
        <f>D13*E13</f>
        <v>0</v>
      </c>
    </row>
    <row r="14" spans="1:6" ht="45" x14ac:dyDescent="0.25">
      <c r="A14" s="15">
        <v>8</v>
      </c>
      <c r="B14" s="12" t="s">
        <v>35</v>
      </c>
      <c r="C14" s="13" t="s">
        <v>22</v>
      </c>
      <c r="D14" s="13">
        <v>4</v>
      </c>
      <c r="E14" s="13"/>
      <c r="F14" s="14">
        <f>D14*E14</f>
        <v>0</v>
      </c>
    </row>
    <row r="15" spans="1:6" ht="45" x14ac:dyDescent="0.25">
      <c r="A15" s="30">
        <v>9</v>
      </c>
      <c r="B15" s="31" t="s">
        <v>36</v>
      </c>
      <c r="C15" s="29" t="s">
        <v>15</v>
      </c>
      <c r="D15" s="13">
        <f>4*(2*2)*1.5</f>
        <v>24</v>
      </c>
      <c r="E15" s="13"/>
      <c r="F15" s="14"/>
    </row>
    <row r="16" spans="1:6" ht="60" x14ac:dyDescent="0.25">
      <c r="A16" s="32">
        <v>10</v>
      </c>
      <c r="B16" s="33" t="s">
        <v>37</v>
      </c>
      <c r="C16" s="29" t="s">
        <v>38</v>
      </c>
      <c r="D16" s="16">
        <v>1</v>
      </c>
      <c r="E16" s="13"/>
      <c r="F16" s="14">
        <f>E16*D16</f>
        <v>0</v>
      </c>
    </row>
    <row r="17" spans="1:6" x14ac:dyDescent="0.25">
      <c r="A17" s="34"/>
      <c r="B17" s="246" t="s">
        <v>50</v>
      </c>
      <c r="C17" s="247"/>
      <c r="D17" s="247"/>
      <c r="E17" s="248"/>
      <c r="F17" s="35">
        <f>SUM(F7:F16)</f>
        <v>0</v>
      </c>
    </row>
    <row r="18" spans="1:6" x14ac:dyDescent="0.25">
      <c r="A18" s="36"/>
      <c r="B18" s="37"/>
      <c r="C18" s="38"/>
      <c r="D18" s="38"/>
      <c r="E18" s="39"/>
      <c r="F18" s="40"/>
    </row>
    <row r="19" spans="1:6" x14ac:dyDescent="0.25">
      <c r="A19" s="24" t="s">
        <v>39</v>
      </c>
      <c r="B19" s="25" t="s">
        <v>51</v>
      </c>
      <c r="C19" s="26"/>
      <c r="D19" s="26"/>
      <c r="E19" s="68"/>
      <c r="F19" s="52"/>
    </row>
    <row r="20" spans="1:6" ht="30" x14ac:dyDescent="0.25">
      <c r="A20" s="11">
        <v>1</v>
      </c>
      <c r="B20" s="12" t="s">
        <v>52</v>
      </c>
      <c r="C20" s="15" t="s">
        <v>15</v>
      </c>
      <c r="D20" s="69">
        <f>3*(10*9)</f>
        <v>270</v>
      </c>
      <c r="E20" s="70"/>
      <c r="F20" s="57">
        <f t="shared" ref="F20:F45" si="1">D20*E20</f>
        <v>0</v>
      </c>
    </row>
    <row r="21" spans="1:6" ht="60" x14ac:dyDescent="0.25">
      <c r="A21" s="11">
        <v>2</v>
      </c>
      <c r="B21" s="12" t="s">
        <v>53</v>
      </c>
      <c r="C21" s="15" t="s">
        <v>54</v>
      </c>
      <c r="D21" s="69">
        <f>(3*8.2*3+9*5)*0.5*0.7</f>
        <v>41.58</v>
      </c>
      <c r="E21" s="70"/>
      <c r="F21" s="57">
        <f t="shared" si="1"/>
        <v>0</v>
      </c>
    </row>
    <row r="22" spans="1:6" ht="45" x14ac:dyDescent="0.25">
      <c r="A22" s="11">
        <v>3</v>
      </c>
      <c r="B22" s="12" t="s">
        <v>55</v>
      </c>
      <c r="C22" s="15" t="s">
        <v>15</v>
      </c>
      <c r="D22" s="69">
        <f>(3*8.2*3+9*5)*0.05</f>
        <v>5.94</v>
      </c>
      <c r="E22" s="70"/>
      <c r="F22" s="57">
        <f t="shared" si="1"/>
        <v>0</v>
      </c>
    </row>
    <row r="23" spans="1:6" ht="45" x14ac:dyDescent="0.25">
      <c r="A23" s="11">
        <v>4</v>
      </c>
      <c r="B23" s="12" t="s">
        <v>56</v>
      </c>
      <c r="C23" s="15" t="s">
        <v>18</v>
      </c>
      <c r="D23" s="69">
        <f>(3*8.2*3+9*5)*0.9*0.4</f>
        <v>42.768000000000001</v>
      </c>
      <c r="E23" s="70"/>
      <c r="F23" s="57">
        <f t="shared" si="1"/>
        <v>0</v>
      </c>
    </row>
    <row r="24" spans="1:6" ht="105" x14ac:dyDescent="0.25">
      <c r="A24" s="11">
        <v>5</v>
      </c>
      <c r="B24" s="12" t="s">
        <v>57</v>
      </c>
      <c r="C24" s="16" t="s">
        <v>18</v>
      </c>
      <c r="D24" s="69">
        <f>(3*8.2*3+9*5)*0.2*0.4</f>
        <v>9.5040000000000013</v>
      </c>
      <c r="E24" s="56"/>
      <c r="F24" s="57">
        <f t="shared" si="1"/>
        <v>0</v>
      </c>
    </row>
    <row r="25" spans="1:6" ht="90" x14ac:dyDescent="0.25">
      <c r="A25" s="11">
        <v>6</v>
      </c>
      <c r="B25" s="12" t="s">
        <v>58</v>
      </c>
      <c r="C25" s="16" t="s">
        <v>18</v>
      </c>
      <c r="D25" s="71">
        <f>(7*2+4)*(0.7*0.7*0.3)</f>
        <v>2.6459999999999995</v>
      </c>
      <c r="E25" s="56"/>
      <c r="F25" s="57">
        <f t="shared" si="1"/>
        <v>0</v>
      </c>
    </row>
    <row r="26" spans="1:6" ht="90" x14ac:dyDescent="0.25">
      <c r="A26" s="11">
        <v>7</v>
      </c>
      <c r="B26" s="12" t="s">
        <v>59</v>
      </c>
      <c r="C26" s="28" t="s">
        <v>18</v>
      </c>
      <c r="D26" s="71">
        <f>(8*2+7)*(1*0.2*0.2)</f>
        <v>0.92000000000000015</v>
      </c>
      <c r="E26" s="72"/>
      <c r="F26" s="57">
        <f t="shared" si="1"/>
        <v>0</v>
      </c>
    </row>
    <row r="27" spans="1:6" ht="30" x14ac:dyDescent="0.25">
      <c r="A27" s="11">
        <v>8</v>
      </c>
      <c r="B27" s="12" t="s">
        <v>60</v>
      </c>
      <c r="C27" s="11" t="s">
        <v>18</v>
      </c>
      <c r="D27" s="73">
        <f>3*8*9*0.2</f>
        <v>43.2</v>
      </c>
      <c r="E27" s="70"/>
      <c r="F27" s="57">
        <f t="shared" si="1"/>
        <v>0</v>
      </c>
    </row>
    <row r="28" spans="1:6" x14ac:dyDescent="0.25">
      <c r="A28" s="11">
        <v>9</v>
      </c>
      <c r="B28" s="12" t="s">
        <v>61</v>
      </c>
      <c r="C28" s="11" t="s">
        <v>15</v>
      </c>
      <c r="D28" s="73">
        <f>3*8*9</f>
        <v>216</v>
      </c>
      <c r="E28" s="70"/>
      <c r="F28" s="57">
        <f t="shared" si="1"/>
        <v>0</v>
      </c>
    </row>
    <row r="29" spans="1:6" ht="45" x14ac:dyDescent="0.25">
      <c r="A29" s="11">
        <v>10</v>
      </c>
      <c r="B29" s="12" t="s">
        <v>62</v>
      </c>
      <c r="C29" s="13" t="s">
        <v>15</v>
      </c>
      <c r="D29" s="74">
        <f>D28</f>
        <v>216</v>
      </c>
      <c r="E29" s="56"/>
      <c r="F29" s="57">
        <f t="shared" si="1"/>
        <v>0</v>
      </c>
    </row>
    <row r="30" spans="1:6" ht="120" x14ac:dyDescent="0.25">
      <c r="A30" s="11">
        <v>11</v>
      </c>
      <c r="B30" s="12" t="s">
        <v>63</v>
      </c>
      <c r="C30" s="28" t="s">
        <v>18</v>
      </c>
      <c r="D30" s="73">
        <f>3*8*9*0.08</f>
        <v>17.28</v>
      </c>
      <c r="E30" s="70"/>
      <c r="F30" s="57">
        <f t="shared" si="1"/>
        <v>0</v>
      </c>
    </row>
    <row r="31" spans="1:6" ht="45" x14ac:dyDescent="0.25">
      <c r="A31" s="11">
        <v>12</v>
      </c>
      <c r="B31" s="12" t="s">
        <v>64</v>
      </c>
      <c r="C31" s="13" t="s">
        <v>15</v>
      </c>
      <c r="D31" s="69">
        <f>(3*8*2+5*7)*3.4</f>
        <v>282.2</v>
      </c>
      <c r="E31" s="70"/>
      <c r="F31" s="57">
        <f t="shared" si="1"/>
        <v>0</v>
      </c>
    </row>
    <row r="32" spans="1:6" ht="90" x14ac:dyDescent="0.25">
      <c r="A32" s="11">
        <v>13</v>
      </c>
      <c r="B32" s="12" t="s">
        <v>65</v>
      </c>
      <c r="C32" s="28" t="s">
        <v>18</v>
      </c>
      <c r="D32" s="69">
        <f>(3*8*1.75)*0.2*0.15</f>
        <v>1.26</v>
      </c>
      <c r="E32" s="72"/>
      <c r="F32" s="57">
        <f>D32*E32</f>
        <v>0</v>
      </c>
    </row>
    <row r="33" spans="1:6" ht="90" x14ac:dyDescent="0.25">
      <c r="A33" s="11">
        <v>14</v>
      </c>
      <c r="B33" s="12" t="s">
        <v>66</v>
      </c>
      <c r="C33" s="28" t="s">
        <v>18</v>
      </c>
      <c r="D33" s="69">
        <f>(3*8.2*2+9*5)*0.2*0.2</f>
        <v>3.7680000000000002</v>
      </c>
      <c r="E33" s="72"/>
      <c r="F33" s="57">
        <f>D33*E33</f>
        <v>0</v>
      </c>
    </row>
    <row r="34" spans="1:6" ht="90" x14ac:dyDescent="0.25">
      <c r="A34" s="11">
        <v>15</v>
      </c>
      <c r="B34" s="12" t="s">
        <v>67</v>
      </c>
      <c r="C34" s="11" t="s">
        <v>18</v>
      </c>
      <c r="D34" s="69">
        <f>(3*8.4*2+9*5)*0.2*0.3</f>
        <v>5.7240000000000002</v>
      </c>
      <c r="E34" s="70"/>
      <c r="F34" s="57">
        <f t="shared" si="1"/>
        <v>0</v>
      </c>
    </row>
    <row r="35" spans="1:6" ht="165" x14ac:dyDescent="0.25">
      <c r="A35" s="11">
        <v>16</v>
      </c>
      <c r="B35" s="12" t="s">
        <v>68</v>
      </c>
      <c r="C35" s="11" t="s">
        <v>18</v>
      </c>
      <c r="D35" s="75">
        <f>(0.2*0.2*3.8)*15</f>
        <v>2.2800000000000002</v>
      </c>
      <c r="E35" s="70"/>
      <c r="F35" s="57">
        <f t="shared" si="1"/>
        <v>0</v>
      </c>
    </row>
    <row r="36" spans="1:6" ht="120" x14ac:dyDescent="0.25">
      <c r="A36" s="11">
        <v>16</v>
      </c>
      <c r="B36" s="12" t="s">
        <v>69</v>
      </c>
      <c r="C36" s="11" t="s">
        <v>15</v>
      </c>
      <c r="D36" s="11">
        <f>(8.2*9.2*1.5)*3</f>
        <v>339.4799999999999</v>
      </c>
      <c r="E36" s="70"/>
      <c r="F36" s="57">
        <f t="shared" si="1"/>
        <v>0</v>
      </c>
    </row>
    <row r="37" spans="1:6" ht="60" x14ac:dyDescent="0.25">
      <c r="A37" s="11">
        <v>17</v>
      </c>
      <c r="B37" s="12" t="s">
        <v>70</v>
      </c>
      <c r="C37" s="11" t="s">
        <v>15</v>
      </c>
      <c r="D37" s="73">
        <f>(8*9)*3</f>
        <v>216</v>
      </c>
      <c r="E37" s="70"/>
      <c r="F37" s="57">
        <f t="shared" si="1"/>
        <v>0</v>
      </c>
    </row>
    <row r="38" spans="1:6" ht="75" x14ac:dyDescent="0.25">
      <c r="A38" s="11">
        <v>18</v>
      </c>
      <c r="B38" s="12" t="s">
        <v>71</v>
      </c>
      <c r="C38" s="16" t="s">
        <v>24</v>
      </c>
      <c r="D38" s="16">
        <v>1</v>
      </c>
      <c r="E38" s="56"/>
      <c r="F38" s="57">
        <f t="shared" si="1"/>
        <v>0</v>
      </c>
    </row>
    <row r="39" spans="1:6" ht="45" x14ac:dyDescent="0.25">
      <c r="A39" s="11">
        <v>19</v>
      </c>
      <c r="B39" s="76" t="s">
        <v>72</v>
      </c>
      <c r="C39" s="77" t="s">
        <v>15</v>
      </c>
      <c r="D39" s="69">
        <f>(3*8*2+4*7*2)*3.4</f>
        <v>353.59999999999997</v>
      </c>
      <c r="E39" s="78"/>
      <c r="F39" s="57">
        <f t="shared" si="1"/>
        <v>0</v>
      </c>
    </row>
    <row r="40" spans="1:6" ht="45" x14ac:dyDescent="0.25">
      <c r="A40" s="11">
        <v>20</v>
      </c>
      <c r="B40" s="76" t="s">
        <v>73</v>
      </c>
      <c r="C40" s="77" t="s">
        <v>15</v>
      </c>
      <c r="D40" s="69">
        <f>(3*8.3*2.2+7.4*2.3)*4</f>
        <v>287.20000000000005</v>
      </c>
      <c r="E40" s="78"/>
      <c r="F40" s="57">
        <f>D40*E40</f>
        <v>0</v>
      </c>
    </row>
    <row r="41" spans="1:6" ht="90" x14ac:dyDescent="0.25">
      <c r="A41" s="11">
        <v>21</v>
      </c>
      <c r="B41" s="76" t="s">
        <v>179</v>
      </c>
      <c r="C41" s="77" t="s">
        <v>15</v>
      </c>
      <c r="D41" s="16">
        <f>D39</f>
        <v>353.59999999999997</v>
      </c>
      <c r="E41" s="78"/>
      <c r="F41" s="57">
        <f t="shared" si="1"/>
        <v>0</v>
      </c>
    </row>
    <row r="42" spans="1:6" ht="45" x14ac:dyDescent="0.25">
      <c r="A42" s="11">
        <v>22</v>
      </c>
      <c r="B42" s="76" t="s">
        <v>74</v>
      </c>
      <c r="C42" s="11" t="s">
        <v>15</v>
      </c>
      <c r="D42" s="77">
        <f>D40</f>
        <v>287.20000000000005</v>
      </c>
      <c r="E42" s="78"/>
      <c r="F42" s="57">
        <f t="shared" si="1"/>
        <v>0</v>
      </c>
    </row>
    <row r="43" spans="1:6" ht="120" x14ac:dyDescent="0.25">
      <c r="A43" s="11">
        <v>23</v>
      </c>
      <c r="B43" s="79" t="s">
        <v>75</v>
      </c>
      <c r="C43" s="80" t="s">
        <v>22</v>
      </c>
      <c r="D43" s="28">
        <v>3</v>
      </c>
      <c r="E43" s="72"/>
      <c r="F43" s="57">
        <f>E43*D43</f>
        <v>0</v>
      </c>
    </row>
    <row r="44" spans="1:6" ht="180" x14ac:dyDescent="0.25">
      <c r="A44" s="11">
        <v>24</v>
      </c>
      <c r="B44" s="20" t="s">
        <v>76</v>
      </c>
      <c r="C44" s="80" t="s">
        <v>22</v>
      </c>
      <c r="D44" s="11">
        <f>3*5</f>
        <v>15</v>
      </c>
      <c r="E44" s="70"/>
      <c r="F44" s="57">
        <f t="shared" si="1"/>
        <v>0</v>
      </c>
    </row>
    <row r="45" spans="1:6" ht="75" x14ac:dyDescent="0.25">
      <c r="A45" s="11">
        <v>25</v>
      </c>
      <c r="B45" s="21" t="s">
        <v>25</v>
      </c>
      <c r="C45" s="81" t="s">
        <v>22</v>
      </c>
      <c r="D45" s="80">
        <v>2</v>
      </c>
      <c r="E45" s="82"/>
      <c r="F45" s="57">
        <f t="shared" si="1"/>
        <v>0</v>
      </c>
    </row>
    <row r="46" spans="1:6" ht="30" x14ac:dyDescent="0.25">
      <c r="A46" s="11">
        <v>26</v>
      </c>
      <c r="B46" s="21" t="s">
        <v>26</v>
      </c>
      <c r="C46" s="13" t="s">
        <v>20</v>
      </c>
      <c r="D46" s="13">
        <v>3</v>
      </c>
      <c r="E46" s="13"/>
      <c r="F46" s="57">
        <f>D46*E46</f>
        <v>0</v>
      </c>
    </row>
    <row r="47" spans="1:6" x14ac:dyDescent="0.25">
      <c r="A47" s="34"/>
      <c r="B47" s="246" t="s">
        <v>77</v>
      </c>
      <c r="C47" s="247"/>
      <c r="D47" s="247"/>
      <c r="E47" s="248"/>
      <c r="F47" s="35">
        <f>SUM(F20:F46)+F19</f>
        <v>0</v>
      </c>
    </row>
    <row r="48" spans="1:6" x14ac:dyDescent="0.25">
      <c r="A48" s="41"/>
      <c r="B48" s="42"/>
      <c r="C48" s="43"/>
      <c r="D48" s="43"/>
      <c r="E48" s="44"/>
      <c r="F48" s="45"/>
    </row>
    <row r="49" spans="1:6" x14ac:dyDescent="0.25">
      <c r="A49" s="24" t="s">
        <v>27</v>
      </c>
      <c r="B49" s="48" t="s">
        <v>40</v>
      </c>
      <c r="C49" s="49"/>
      <c r="D49" s="50"/>
      <c r="E49" s="51"/>
      <c r="F49" s="52"/>
    </row>
    <row r="50" spans="1:6" ht="90" x14ac:dyDescent="0.25">
      <c r="A50" s="11">
        <v>1</v>
      </c>
      <c r="B50" s="53" t="s">
        <v>41</v>
      </c>
      <c r="C50" s="54" t="s">
        <v>42</v>
      </c>
      <c r="D50" s="55">
        <v>1</v>
      </c>
      <c r="E50" s="56"/>
      <c r="F50" s="57">
        <f t="shared" ref="F50" si="2">D50*E50</f>
        <v>0</v>
      </c>
    </row>
    <row r="51" spans="1:6" x14ac:dyDescent="0.25">
      <c r="A51" s="34"/>
      <c r="B51" s="246" t="s">
        <v>43</v>
      </c>
      <c r="C51" s="247"/>
      <c r="D51" s="247"/>
      <c r="E51" s="248"/>
      <c r="F51" s="58">
        <f>SUM(F50)</f>
        <v>0</v>
      </c>
    </row>
    <row r="52" spans="1:6" x14ac:dyDescent="0.25">
      <c r="A52" s="41"/>
      <c r="B52" s="42"/>
      <c r="C52" s="43"/>
      <c r="D52" s="43"/>
      <c r="E52" s="126"/>
      <c r="F52" s="45"/>
    </row>
    <row r="53" spans="1:6" x14ac:dyDescent="0.25">
      <c r="A53" s="195"/>
      <c r="B53" s="236" t="s">
        <v>170</v>
      </c>
      <c r="C53" s="236"/>
      <c r="D53" s="236"/>
      <c r="E53" s="236"/>
      <c r="F53" s="197"/>
    </row>
    <row r="54" spans="1:6" ht="15.75" x14ac:dyDescent="0.25">
      <c r="A54" s="36" t="s">
        <v>11</v>
      </c>
      <c r="B54" s="252" t="str">
        <f>B17</f>
        <v>Subtotal for 4 Wash facilities rehab</v>
      </c>
      <c r="C54" s="253"/>
      <c r="D54" s="253"/>
      <c r="E54" s="254"/>
      <c r="F54" s="199">
        <f>F17</f>
        <v>0</v>
      </c>
    </row>
    <row r="55" spans="1:6" ht="15.75" x14ac:dyDescent="0.25">
      <c r="A55" s="36" t="s">
        <v>39</v>
      </c>
      <c r="B55" s="255" t="str">
        <f>B47</f>
        <v>Subtotal for 3 new classrooms</v>
      </c>
      <c r="C55" s="256"/>
      <c r="D55" s="256"/>
      <c r="E55" s="257"/>
      <c r="F55" s="199">
        <f>F47</f>
        <v>0</v>
      </c>
    </row>
    <row r="56" spans="1:6" ht="15.75" x14ac:dyDescent="0.25">
      <c r="A56" s="36" t="s">
        <v>27</v>
      </c>
      <c r="B56" s="255" t="str">
        <f>B51</f>
        <v xml:space="preserve">Subtotal for visibility </v>
      </c>
      <c r="C56" s="256"/>
      <c r="D56" s="256"/>
      <c r="E56" s="257"/>
      <c r="F56" s="202">
        <f>F51</f>
        <v>0</v>
      </c>
    </row>
    <row r="57" spans="1:6" ht="16.5" thickBot="1" x14ac:dyDescent="0.3">
      <c r="A57" s="60"/>
      <c r="B57" s="249" t="s">
        <v>44</v>
      </c>
      <c r="C57" s="250"/>
      <c r="D57" s="250"/>
      <c r="E57" s="251"/>
      <c r="F57" s="61">
        <f>F56+F55+F54</f>
        <v>0</v>
      </c>
    </row>
    <row r="58" spans="1:6" ht="15.75" thickBot="1" x14ac:dyDescent="0.3">
      <c r="A58" s="62"/>
      <c r="B58" s="63"/>
      <c r="C58" s="64"/>
      <c r="D58" s="64"/>
      <c r="E58" s="64"/>
      <c r="F58" s="65"/>
    </row>
    <row r="59" spans="1:6" x14ac:dyDescent="0.25">
      <c r="A59" s="66"/>
      <c r="B59" s="67" t="s">
        <v>45</v>
      </c>
      <c r="C59" s="229"/>
      <c r="D59" s="230"/>
      <c r="E59" s="230"/>
      <c r="F59" s="231"/>
    </row>
    <row r="60" spans="1:6" x14ac:dyDescent="0.25">
      <c r="A60" s="66"/>
      <c r="B60" s="67" t="s">
        <v>46</v>
      </c>
      <c r="C60" s="214"/>
      <c r="D60" s="215"/>
      <c r="E60" s="215"/>
      <c r="F60" s="216"/>
    </row>
    <row r="61" spans="1:6" x14ac:dyDescent="0.25">
      <c r="A61" s="66"/>
      <c r="B61" s="67" t="s">
        <v>47</v>
      </c>
      <c r="C61" s="214"/>
      <c r="D61" s="215"/>
      <c r="E61" s="215"/>
      <c r="F61" s="216"/>
    </row>
    <row r="62" spans="1:6" ht="15.75" thickBot="1" x14ac:dyDescent="0.3">
      <c r="A62" s="66"/>
      <c r="B62" s="67" t="s">
        <v>48</v>
      </c>
      <c r="C62" s="217"/>
      <c r="D62" s="218"/>
      <c r="E62" s="218"/>
      <c r="F62" s="219"/>
    </row>
  </sheetData>
  <mergeCells count="14">
    <mergeCell ref="B1:F1"/>
    <mergeCell ref="B2:F2"/>
    <mergeCell ref="B3:F3"/>
    <mergeCell ref="B17:E17"/>
    <mergeCell ref="B47:E47"/>
    <mergeCell ref="B51:E51"/>
    <mergeCell ref="B57:E57"/>
    <mergeCell ref="C59:F59"/>
    <mergeCell ref="C60:F60"/>
    <mergeCell ref="C61:F62"/>
    <mergeCell ref="B53:E53"/>
    <mergeCell ref="B54:E54"/>
    <mergeCell ref="B55:E55"/>
    <mergeCell ref="B56:E56"/>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ADEDB-2C28-4C8C-A602-A9D79C1827FA}">
  <dimension ref="A1:F126"/>
  <sheetViews>
    <sheetView tabSelected="1" view="pageBreakPreview" topLeftCell="A98" zoomScale="93" zoomScaleNormal="100" zoomScaleSheetLayoutView="93" workbookViewId="0">
      <selection activeCell="B103" sqref="B103"/>
    </sheetView>
  </sheetViews>
  <sheetFormatPr defaultRowHeight="15" x14ac:dyDescent="0.25"/>
  <cols>
    <col min="1" max="1" width="11.28515625" customWidth="1"/>
    <col min="2" max="2" width="36" customWidth="1"/>
    <col min="3" max="3" width="6.5703125" customWidth="1"/>
    <col min="4" max="4" width="10.28515625" customWidth="1"/>
    <col min="5" max="5" width="11.42578125" customWidth="1"/>
    <col min="6" max="6" width="16.140625" customWidth="1"/>
  </cols>
  <sheetData>
    <row r="1" spans="1:6" ht="28.5" customHeight="1" thickBot="1" x14ac:dyDescent="0.3">
      <c r="A1" s="83" t="s">
        <v>0</v>
      </c>
      <c r="B1" s="240" t="s">
        <v>1</v>
      </c>
      <c r="C1" s="241"/>
      <c r="D1" s="241"/>
      <c r="E1" s="241"/>
      <c r="F1" s="242"/>
    </row>
    <row r="2" spans="1:6" ht="16.5" thickBot="1" x14ac:dyDescent="0.3">
      <c r="A2" s="83" t="s">
        <v>2</v>
      </c>
      <c r="B2" s="240" t="s">
        <v>79</v>
      </c>
      <c r="C2" s="241"/>
      <c r="D2" s="241"/>
      <c r="E2" s="241"/>
      <c r="F2" s="242"/>
    </row>
    <row r="3" spans="1:6" ht="16.5" thickBot="1" x14ac:dyDescent="0.3">
      <c r="A3" s="84" t="s">
        <v>4</v>
      </c>
      <c r="B3" s="240" t="s">
        <v>174</v>
      </c>
      <c r="C3" s="241"/>
      <c r="D3" s="241"/>
      <c r="E3" s="241"/>
      <c r="F3" s="242"/>
    </row>
    <row r="4" spans="1:6" ht="15.75" thickTop="1" x14ac:dyDescent="0.25">
      <c r="A4" s="85" t="s">
        <v>5</v>
      </c>
      <c r="B4" s="86" t="s">
        <v>6</v>
      </c>
      <c r="C4" s="87" t="s">
        <v>7</v>
      </c>
      <c r="D4" s="87" t="s">
        <v>8</v>
      </c>
      <c r="E4" s="87" t="s">
        <v>9</v>
      </c>
      <c r="F4" s="88" t="s">
        <v>10</v>
      </c>
    </row>
    <row r="5" spans="1:6" x14ac:dyDescent="0.25">
      <c r="A5" s="24" t="s">
        <v>11</v>
      </c>
      <c r="B5" s="89" t="s">
        <v>147</v>
      </c>
      <c r="C5" s="90"/>
      <c r="D5" s="90"/>
      <c r="E5" s="91"/>
      <c r="F5" s="52"/>
    </row>
    <row r="6" spans="1:6" x14ac:dyDescent="0.25">
      <c r="A6" s="92"/>
      <c r="B6" s="93" t="s">
        <v>80</v>
      </c>
      <c r="C6" s="13"/>
      <c r="D6" s="13"/>
      <c r="E6" s="94"/>
      <c r="F6" s="57"/>
    </row>
    <row r="7" spans="1:6" x14ac:dyDescent="0.25">
      <c r="A7" s="92"/>
      <c r="B7" s="95" t="s">
        <v>81</v>
      </c>
      <c r="C7" s="13"/>
      <c r="D7" s="13"/>
      <c r="E7" s="94"/>
      <c r="F7" s="57"/>
    </row>
    <row r="8" spans="1:6" ht="60" x14ac:dyDescent="0.25">
      <c r="A8" s="13">
        <v>1</v>
      </c>
      <c r="B8" s="96" t="s">
        <v>82</v>
      </c>
      <c r="C8" s="97" t="s">
        <v>83</v>
      </c>
      <c r="D8" s="13">
        <f>7.4*4.2</f>
        <v>31.080000000000002</v>
      </c>
      <c r="E8" s="94"/>
      <c r="F8" s="57">
        <f t="shared" ref="F8:F61" si="0">D8*E8</f>
        <v>0</v>
      </c>
    </row>
    <row r="9" spans="1:6" ht="45" x14ac:dyDescent="0.25">
      <c r="A9" s="13">
        <v>2</v>
      </c>
      <c r="B9" s="12" t="s">
        <v>84</v>
      </c>
      <c r="C9" s="13" t="s">
        <v>54</v>
      </c>
      <c r="D9" s="94">
        <f>2*3*5</f>
        <v>30</v>
      </c>
      <c r="E9" s="98"/>
      <c r="F9" s="57">
        <f t="shared" si="0"/>
        <v>0</v>
      </c>
    </row>
    <row r="10" spans="1:6" ht="45" x14ac:dyDescent="0.25">
      <c r="A10" s="13">
        <v>3</v>
      </c>
      <c r="B10" s="12" t="s">
        <v>85</v>
      </c>
      <c r="C10" s="13" t="s">
        <v>54</v>
      </c>
      <c r="D10" s="56">
        <f>10*0.15</f>
        <v>1.5</v>
      </c>
      <c r="E10" s="94"/>
      <c r="F10" s="57">
        <f t="shared" si="0"/>
        <v>0</v>
      </c>
    </row>
    <row r="11" spans="1:6" ht="75" x14ac:dyDescent="0.25">
      <c r="A11" s="13">
        <v>4</v>
      </c>
      <c r="B11" s="12" t="s">
        <v>86</v>
      </c>
      <c r="C11" s="13" t="s">
        <v>54</v>
      </c>
      <c r="D11" s="56">
        <f>28.5*0.4*0.3</f>
        <v>3.42</v>
      </c>
      <c r="E11" s="94"/>
      <c r="F11" s="57">
        <f t="shared" si="0"/>
        <v>0</v>
      </c>
    </row>
    <row r="12" spans="1:6" ht="60" x14ac:dyDescent="0.25">
      <c r="A12" s="13">
        <v>5</v>
      </c>
      <c r="B12" s="12" t="s">
        <v>87</v>
      </c>
      <c r="C12" s="13" t="s">
        <v>54</v>
      </c>
      <c r="D12" s="56">
        <f>25.8*0.4*0.05</f>
        <v>0.51600000000000001</v>
      </c>
      <c r="E12" s="94"/>
      <c r="F12" s="57">
        <f t="shared" si="0"/>
        <v>0</v>
      </c>
    </row>
    <row r="13" spans="1:6" ht="105" x14ac:dyDescent="0.25">
      <c r="A13" s="13">
        <v>6</v>
      </c>
      <c r="B13" s="12" t="s">
        <v>88</v>
      </c>
      <c r="C13" s="13" t="s">
        <v>54</v>
      </c>
      <c r="D13" s="99">
        <f>25.8*0.6*0.4</f>
        <v>6.1920000000000002</v>
      </c>
      <c r="E13" s="94"/>
      <c r="F13" s="57">
        <f t="shared" si="0"/>
        <v>0</v>
      </c>
    </row>
    <row r="14" spans="1:6" x14ac:dyDescent="0.25">
      <c r="A14" s="92"/>
      <c r="B14" s="95" t="s">
        <v>89</v>
      </c>
      <c r="C14" s="100"/>
      <c r="D14" s="134"/>
      <c r="E14" s="56"/>
      <c r="F14" s="57"/>
    </row>
    <row r="15" spans="1:6" ht="105" x14ac:dyDescent="0.25">
      <c r="A15" s="13">
        <v>7</v>
      </c>
      <c r="B15" s="12" t="s">
        <v>90</v>
      </c>
      <c r="C15" s="13" t="s">
        <v>54</v>
      </c>
      <c r="D15" s="99">
        <f>0.4*25.8*0.15</f>
        <v>1.548</v>
      </c>
      <c r="E15" s="99"/>
      <c r="F15" s="57">
        <f t="shared" si="0"/>
        <v>0</v>
      </c>
    </row>
    <row r="16" spans="1:6" ht="135" x14ac:dyDescent="0.25">
      <c r="A16" s="13">
        <v>8</v>
      </c>
      <c r="B16" s="12" t="s">
        <v>148</v>
      </c>
      <c r="C16" s="13" t="s">
        <v>54</v>
      </c>
      <c r="D16" s="99">
        <f>3.8*2.8*0.15</f>
        <v>1.5959999999999999</v>
      </c>
      <c r="E16" s="99"/>
      <c r="F16" s="57">
        <f t="shared" si="0"/>
        <v>0</v>
      </c>
    </row>
    <row r="17" spans="1:6" x14ac:dyDescent="0.25">
      <c r="A17" s="92"/>
      <c r="B17" s="95" t="s">
        <v>91</v>
      </c>
      <c r="C17" s="13"/>
      <c r="D17" s="100"/>
      <c r="E17" s="99"/>
      <c r="F17" s="57"/>
    </row>
    <row r="18" spans="1:6" ht="60" x14ac:dyDescent="0.25">
      <c r="A18" s="13">
        <v>9</v>
      </c>
      <c r="B18" s="12" t="s">
        <v>92</v>
      </c>
      <c r="C18" s="13" t="s">
        <v>54</v>
      </c>
      <c r="D18" s="94">
        <f>25.8*0.2</f>
        <v>5.16</v>
      </c>
      <c r="E18" s="99"/>
      <c r="F18" s="57">
        <f t="shared" si="0"/>
        <v>0</v>
      </c>
    </row>
    <row r="19" spans="1:6" ht="45" x14ac:dyDescent="0.25">
      <c r="A19" s="13">
        <v>10</v>
      </c>
      <c r="B19" s="12" t="s">
        <v>93</v>
      </c>
      <c r="C19" s="13" t="s">
        <v>54</v>
      </c>
      <c r="D19" s="101">
        <f>D18</f>
        <v>5.16</v>
      </c>
      <c r="E19" s="99"/>
      <c r="F19" s="57">
        <f t="shared" si="0"/>
        <v>0</v>
      </c>
    </row>
    <row r="20" spans="1:6" x14ac:dyDescent="0.25">
      <c r="A20" s="13"/>
      <c r="B20" s="102" t="s">
        <v>94</v>
      </c>
      <c r="C20" s="13"/>
      <c r="D20" s="103"/>
      <c r="E20" s="99"/>
      <c r="F20" s="57"/>
    </row>
    <row r="21" spans="1:6" ht="60" x14ac:dyDescent="0.25">
      <c r="A21" s="13">
        <v>11</v>
      </c>
      <c r="B21" s="12" t="s">
        <v>95</v>
      </c>
      <c r="C21" s="13" t="s">
        <v>54</v>
      </c>
      <c r="D21" s="103">
        <f>6.3*4.2*0.05</f>
        <v>1.3230000000000002</v>
      </c>
      <c r="E21" s="99"/>
      <c r="F21" s="57">
        <f t="shared" si="0"/>
        <v>0</v>
      </c>
    </row>
    <row r="22" spans="1:6" ht="45" x14ac:dyDescent="0.25">
      <c r="A22" s="13">
        <v>12</v>
      </c>
      <c r="B22" s="104" t="s">
        <v>96</v>
      </c>
      <c r="C22" s="97" t="s">
        <v>83</v>
      </c>
      <c r="D22" s="134">
        <f>2*2*2</f>
        <v>8</v>
      </c>
      <c r="E22" s="99"/>
      <c r="F22" s="57">
        <f t="shared" si="0"/>
        <v>0</v>
      </c>
    </row>
    <row r="23" spans="1:6" ht="75" x14ac:dyDescent="0.25">
      <c r="A23" s="13">
        <v>13</v>
      </c>
      <c r="B23" s="104" t="s">
        <v>97</v>
      </c>
      <c r="C23" s="97" t="s">
        <v>83</v>
      </c>
      <c r="D23" s="134">
        <v>34.200000000000003</v>
      </c>
      <c r="E23" s="99"/>
      <c r="F23" s="57">
        <f t="shared" si="0"/>
        <v>0</v>
      </c>
    </row>
    <row r="24" spans="1:6" x14ac:dyDescent="0.25">
      <c r="A24" s="105"/>
      <c r="B24" s="12"/>
      <c r="C24" s="134"/>
      <c r="D24" s="106"/>
      <c r="E24" s="99"/>
      <c r="F24" s="57"/>
    </row>
    <row r="25" spans="1:6" x14ac:dyDescent="0.25">
      <c r="A25" s="105"/>
      <c r="B25" s="107" t="s">
        <v>80</v>
      </c>
      <c r="C25" s="134"/>
      <c r="D25" s="134"/>
      <c r="E25" s="99"/>
      <c r="F25" s="57"/>
    </row>
    <row r="26" spans="1:6" x14ac:dyDescent="0.25">
      <c r="A26" s="69"/>
      <c r="B26" s="108" t="s">
        <v>98</v>
      </c>
      <c r="C26" s="109"/>
      <c r="D26" s="109"/>
      <c r="E26" s="98"/>
      <c r="F26" s="57"/>
    </row>
    <row r="27" spans="1:6" ht="75" x14ac:dyDescent="0.25">
      <c r="A27" s="69">
        <v>14</v>
      </c>
      <c r="B27" s="104" t="s">
        <v>99</v>
      </c>
      <c r="C27" s="97" t="s">
        <v>83</v>
      </c>
      <c r="D27" s="134">
        <f>25.8*2.9</f>
        <v>74.819999999999993</v>
      </c>
      <c r="E27" s="99"/>
      <c r="F27" s="57">
        <f t="shared" si="0"/>
        <v>0</v>
      </c>
    </row>
    <row r="28" spans="1:6" x14ac:dyDescent="0.25">
      <c r="A28" s="69"/>
      <c r="B28" s="108" t="s">
        <v>100</v>
      </c>
      <c r="C28" s="109"/>
      <c r="D28" s="109"/>
      <c r="E28" s="56"/>
      <c r="F28" s="57"/>
    </row>
    <row r="29" spans="1:6" ht="120" x14ac:dyDescent="0.25">
      <c r="A29" s="110">
        <v>15</v>
      </c>
      <c r="B29" s="104" t="s">
        <v>101</v>
      </c>
      <c r="C29" s="13" t="s">
        <v>54</v>
      </c>
      <c r="D29" s="99">
        <f>25.8*0.15*0.15</f>
        <v>0.58050000000000002</v>
      </c>
      <c r="E29" s="99"/>
      <c r="F29" s="57">
        <f t="shared" si="0"/>
        <v>0</v>
      </c>
    </row>
    <row r="30" spans="1:6" x14ac:dyDescent="0.25">
      <c r="A30" s="71"/>
      <c r="B30" s="102" t="s">
        <v>102</v>
      </c>
      <c r="C30" s="109"/>
      <c r="D30" s="109"/>
      <c r="E30" s="99"/>
      <c r="F30" s="57"/>
    </row>
    <row r="31" spans="1:6" ht="60" x14ac:dyDescent="0.25">
      <c r="A31" s="71">
        <v>16</v>
      </c>
      <c r="B31" s="104" t="s">
        <v>103</v>
      </c>
      <c r="C31" s="13" t="s">
        <v>104</v>
      </c>
      <c r="D31" s="99">
        <v>1</v>
      </c>
      <c r="E31" s="99"/>
      <c r="F31" s="57">
        <f t="shared" si="0"/>
        <v>0</v>
      </c>
    </row>
    <row r="32" spans="1:6" ht="60" x14ac:dyDescent="0.25">
      <c r="A32" s="71">
        <v>17</v>
      </c>
      <c r="B32" s="104" t="s">
        <v>105</v>
      </c>
      <c r="C32" s="13" t="s">
        <v>104</v>
      </c>
      <c r="D32" s="99">
        <v>1</v>
      </c>
      <c r="E32" s="99"/>
      <c r="F32" s="57">
        <f t="shared" si="0"/>
        <v>0</v>
      </c>
    </row>
    <row r="33" spans="1:6" ht="45" x14ac:dyDescent="0.25">
      <c r="A33" s="71">
        <v>18</v>
      </c>
      <c r="B33" s="111" t="s">
        <v>106</v>
      </c>
      <c r="C33" s="134" t="s">
        <v>104</v>
      </c>
      <c r="D33" s="99">
        <v>1</v>
      </c>
      <c r="E33" s="99"/>
      <c r="F33" s="57">
        <f t="shared" si="0"/>
        <v>0</v>
      </c>
    </row>
    <row r="34" spans="1:6" x14ac:dyDescent="0.25">
      <c r="A34" s="112"/>
      <c r="B34" s="109"/>
      <c r="C34" s="109"/>
      <c r="D34" s="109"/>
      <c r="E34" s="99"/>
      <c r="F34" s="57"/>
    </row>
    <row r="35" spans="1:6" x14ac:dyDescent="0.25">
      <c r="A35" s="112"/>
      <c r="B35" s="107" t="s">
        <v>107</v>
      </c>
      <c r="C35" s="109"/>
      <c r="D35" s="109"/>
      <c r="E35" s="99"/>
      <c r="F35" s="57"/>
    </row>
    <row r="36" spans="1:6" ht="180" x14ac:dyDescent="0.25">
      <c r="A36" s="71">
        <v>19</v>
      </c>
      <c r="B36" s="104" t="s">
        <v>149</v>
      </c>
      <c r="C36" s="97" t="s">
        <v>83</v>
      </c>
      <c r="D36" s="99">
        <f>(4.6*2*1.5)</f>
        <v>13.799999999999999</v>
      </c>
      <c r="E36" s="99"/>
      <c r="F36" s="57">
        <f t="shared" si="0"/>
        <v>0</v>
      </c>
    </row>
    <row r="37" spans="1:6" ht="60" x14ac:dyDescent="0.25">
      <c r="A37" s="71">
        <v>20</v>
      </c>
      <c r="B37" s="104" t="s">
        <v>70</v>
      </c>
      <c r="C37" s="97" t="s">
        <v>83</v>
      </c>
      <c r="D37" s="99">
        <f>4.6*2</f>
        <v>9.1999999999999993</v>
      </c>
      <c r="E37" s="99"/>
      <c r="F37" s="57">
        <f>E37*D37</f>
        <v>0</v>
      </c>
    </row>
    <row r="38" spans="1:6" x14ac:dyDescent="0.25">
      <c r="A38" s="71">
        <v>20</v>
      </c>
      <c r="B38" s="109" t="s">
        <v>108</v>
      </c>
      <c r="C38" s="134" t="s">
        <v>83</v>
      </c>
      <c r="D38" s="99">
        <v>14.8</v>
      </c>
      <c r="E38" s="99"/>
      <c r="F38" s="57">
        <f t="shared" si="0"/>
        <v>0</v>
      </c>
    </row>
    <row r="39" spans="1:6" x14ac:dyDescent="0.25">
      <c r="A39" s="112"/>
      <c r="B39" s="109"/>
      <c r="C39" s="109"/>
      <c r="D39" s="109"/>
      <c r="E39" s="99"/>
      <c r="F39" s="57"/>
    </row>
    <row r="40" spans="1:6" x14ac:dyDescent="0.25">
      <c r="A40" s="112"/>
      <c r="B40" s="107" t="s">
        <v>109</v>
      </c>
      <c r="C40" s="109"/>
      <c r="D40" s="109"/>
      <c r="E40" s="99"/>
      <c r="F40" s="57"/>
    </row>
    <row r="41" spans="1:6" ht="45" x14ac:dyDescent="0.25">
      <c r="A41" s="71">
        <v>21</v>
      </c>
      <c r="B41" s="111" t="s">
        <v>110</v>
      </c>
      <c r="C41" s="97" t="s">
        <v>83</v>
      </c>
      <c r="D41" s="134">
        <f>50.8*2.9</f>
        <v>147.32</v>
      </c>
      <c r="E41" s="99"/>
      <c r="F41" s="57">
        <f t="shared" si="0"/>
        <v>0</v>
      </c>
    </row>
    <row r="42" spans="1:6" ht="45" x14ac:dyDescent="0.25">
      <c r="A42" s="71">
        <v>22</v>
      </c>
      <c r="B42" s="111" t="s">
        <v>111</v>
      </c>
      <c r="C42" s="97" t="s">
        <v>83</v>
      </c>
      <c r="D42" s="134">
        <f>D41</f>
        <v>147.32</v>
      </c>
      <c r="E42" s="99"/>
      <c r="F42" s="57">
        <f t="shared" si="0"/>
        <v>0</v>
      </c>
    </row>
    <row r="43" spans="1:6" ht="60" x14ac:dyDescent="0.25">
      <c r="A43" s="71">
        <v>23</v>
      </c>
      <c r="B43" s="111" t="s">
        <v>112</v>
      </c>
      <c r="C43" s="97" t="s">
        <v>83</v>
      </c>
      <c r="D43" s="134">
        <f>D42</f>
        <v>147.32</v>
      </c>
      <c r="E43" s="99"/>
      <c r="F43" s="57">
        <f t="shared" si="0"/>
        <v>0</v>
      </c>
    </row>
    <row r="44" spans="1:6" x14ac:dyDescent="0.25">
      <c r="A44" s="112"/>
      <c r="B44" s="109"/>
      <c r="C44" s="109"/>
      <c r="D44" s="109"/>
      <c r="E44" s="99"/>
      <c r="F44" s="57"/>
    </row>
    <row r="45" spans="1:6" x14ac:dyDescent="0.25">
      <c r="A45" s="113"/>
      <c r="B45" s="107" t="s">
        <v>113</v>
      </c>
      <c r="C45" s="109"/>
      <c r="D45" s="109"/>
      <c r="E45" s="99"/>
      <c r="F45" s="57"/>
    </row>
    <row r="46" spans="1:6" x14ac:dyDescent="0.25">
      <c r="A46" s="71"/>
      <c r="B46" s="108" t="s">
        <v>114</v>
      </c>
      <c r="C46" s="109"/>
      <c r="D46" s="109"/>
      <c r="E46" s="99"/>
      <c r="F46" s="57"/>
    </row>
    <row r="47" spans="1:6" ht="60" x14ac:dyDescent="0.25">
      <c r="A47" s="71">
        <v>24</v>
      </c>
      <c r="B47" s="111" t="s">
        <v>115</v>
      </c>
      <c r="C47" s="134" t="s">
        <v>42</v>
      </c>
      <c r="D47" s="99">
        <v>2</v>
      </c>
      <c r="E47" s="99"/>
      <c r="F47" s="57">
        <f t="shared" si="0"/>
        <v>0</v>
      </c>
    </row>
    <row r="48" spans="1:6" x14ac:dyDescent="0.25">
      <c r="A48" s="112"/>
      <c r="B48" s="108" t="s">
        <v>116</v>
      </c>
      <c r="C48" s="109"/>
      <c r="D48" s="109"/>
      <c r="E48" s="99"/>
      <c r="F48" s="57"/>
    </row>
    <row r="49" spans="1:6" ht="60" x14ac:dyDescent="0.25">
      <c r="A49" s="71">
        <v>25</v>
      </c>
      <c r="B49" s="104" t="s">
        <v>117</v>
      </c>
      <c r="C49" s="134" t="s">
        <v>42</v>
      </c>
      <c r="D49" s="99">
        <v>3</v>
      </c>
      <c r="E49" s="99"/>
      <c r="F49" s="57">
        <f t="shared" si="0"/>
        <v>0</v>
      </c>
    </row>
    <row r="50" spans="1:6" x14ac:dyDescent="0.25">
      <c r="A50" s="71"/>
      <c r="B50" s="104"/>
      <c r="C50" s="134"/>
      <c r="D50" s="99"/>
      <c r="E50" s="99"/>
      <c r="F50" s="57"/>
    </row>
    <row r="51" spans="1:6" x14ac:dyDescent="0.25">
      <c r="A51" s="71"/>
      <c r="B51" s="107" t="s">
        <v>118</v>
      </c>
      <c r="C51" s="109"/>
      <c r="D51" s="109"/>
      <c r="E51" s="99"/>
      <c r="F51" s="57"/>
    </row>
    <row r="52" spans="1:6" x14ac:dyDescent="0.25">
      <c r="A52" s="71"/>
      <c r="B52" s="108" t="s">
        <v>119</v>
      </c>
      <c r="C52" s="109"/>
      <c r="D52" s="109"/>
      <c r="E52" s="99"/>
      <c r="F52" s="57"/>
    </row>
    <row r="53" spans="1:6" ht="30" x14ac:dyDescent="0.25">
      <c r="A53" s="71">
        <v>26</v>
      </c>
      <c r="B53" s="114" t="s">
        <v>120</v>
      </c>
      <c r="C53" s="134" t="s">
        <v>42</v>
      </c>
      <c r="D53" s="99">
        <v>1</v>
      </c>
      <c r="E53" s="99"/>
      <c r="F53" s="57">
        <f t="shared" si="0"/>
        <v>0</v>
      </c>
    </row>
    <row r="54" spans="1:6" ht="60" x14ac:dyDescent="0.25">
      <c r="A54" s="71">
        <v>27</v>
      </c>
      <c r="B54" s="114" t="s">
        <v>121</v>
      </c>
      <c r="C54" s="134" t="s">
        <v>42</v>
      </c>
      <c r="D54" s="99">
        <v>1</v>
      </c>
      <c r="E54" s="99"/>
      <c r="F54" s="57">
        <f t="shared" si="0"/>
        <v>0</v>
      </c>
    </row>
    <row r="55" spans="1:6" ht="75" x14ac:dyDescent="0.25">
      <c r="A55" s="71">
        <v>28</v>
      </c>
      <c r="B55" s="114" t="s">
        <v>150</v>
      </c>
      <c r="C55" s="134" t="s">
        <v>42</v>
      </c>
      <c r="D55" s="99">
        <v>1</v>
      </c>
      <c r="E55" s="99"/>
      <c r="F55" s="57">
        <f t="shared" si="0"/>
        <v>0</v>
      </c>
    </row>
    <row r="56" spans="1:6" ht="90" x14ac:dyDescent="0.25">
      <c r="A56" s="71">
        <v>29</v>
      </c>
      <c r="B56" s="114" t="s">
        <v>151</v>
      </c>
      <c r="C56" s="134" t="s">
        <v>42</v>
      </c>
      <c r="D56" s="99">
        <v>2</v>
      </c>
      <c r="E56" s="99"/>
      <c r="F56" s="57">
        <f t="shared" si="0"/>
        <v>0</v>
      </c>
    </row>
    <row r="57" spans="1:6" ht="45" x14ac:dyDescent="0.25">
      <c r="A57" s="71">
        <v>30</v>
      </c>
      <c r="B57" s="12" t="s">
        <v>122</v>
      </c>
      <c r="C57" s="134" t="s">
        <v>42</v>
      </c>
      <c r="D57" s="99">
        <v>2</v>
      </c>
      <c r="E57" s="99"/>
      <c r="F57" s="57">
        <f t="shared" si="0"/>
        <v>0</v>
      </c>
    </row>
    <row r="58" spans="1:6" ht="30" x14ac:dyDescent="0.25">
      <c r="A58" s="71">
        <v>31</v>
      </c>
      <c r="B58" s="12" t="s">
        <v>123</v>
      </c>
      <c r="C58" s="134" t="s">
        <v>124</v>
      </c>
      <c r="D58" s="99">
        <v>1</v>
      </c>
      <c r="E58" s="99"/>
      <c r="F58" s="57">
        <f t="shared" si="0"/>
        <v>0</v>
      </c>
    </row>
    <row r="59" spans="1:6" x14ac:dyDescent="0.25">
      <c r="A59" s="112"/>
      <c r="B59" s="109"/>
      <c r="C59" s="109"/>
      <c r="D59" s="109"/>
      <c r="E59" s="99"/>
      <c r="F59" s="57"/>
    </row>
    <row r="60" spans="1:6" x14ac:dyDescent="0.25">
      <c r="A60" s="112"/>
      <c r="B60" s="107" t="s">
        <v>125</v>
      </c>
      <c r="C60" s="109"/>
      <c r="D60" s="109"/>
      <c r="E60" s="99"/>
      <c r="F60" s="57"/>
    </row>
    <row r="61" spans="1:6" ht="45" x14ac:dyDescent="0.25">
      <c r="A61" s="71">
        <v>31</v>
      </c>
      <c r="B61" s="104" t="s">
        <v>126</v>
      </c>
      <c r="C61" s="134" t="s">
        <v>42</v>
      </c>
      <c r="D61" s="99">
        <v>2</v>
      </c>
      <c r="E61" s="99"/>
      <c r="F61" s="57">
        <f t="shared" si="0"/>
        <v>0</v>
      </c>
    </row>
    <row r="62" spans="1:6" x14ac:dyDescent="0.25">
      <c r="A62" s="115"/>
      <c r="B62" s="243" t="s">
        <v>152</v>
      </c>
      <c r="C62" s="244"/>
      <c r="D62" s="244"/>
      <c r="E62" s="245"/>
      <c r="F62" s="116">
        <f>SUM(F8:F61)</f>
        <v>0</v>
      </c>
    </row>
    <row r="63" spans="1:6" x14ac:dyDescent="0.25">
      <c r="A63" s="115"/>
      <c r="B63" s="243" t="s">
        <v>153</v>
      </c>
      <c r="C63" s="244"/>
      <c r="D63" s="244"/>
      <c r="E63" s="245"/>
      <c r="F63" s="116">
        <f>F62*2</f>
        <v>0</v>
      </c>
    </row>
    <row r="64" spans="1:6" x14ac:dyDescent="0.25">
      <c r="A64" s="117"/>
      <c r="B64" s="118"/>
      <c r="C64" s="118"/>
      <c r="D64" s="118"/>
      <c r="E64" s="118"/>
      <c r="F64" s="119"/>
    </row>
    <row r="65" spans="1:6" ht="15.75" x14ac:dyDescent="0.25">
      <c r="A65" s="178" t="s">
        <v>39</v>
      </c>
      <c r="B65" s="179" t="s">
        <v>166</v>
      </c>
      <c r="C65" s="180"/>
      <c r="D65" s="180"/>
      <c r="E65" s="181"/>
      <c r="F65" s="182"/>
    </row>
    <row r="66" spans="1:6" ht="16.5" x14ac:dyDescent="0.25">
      <c r="A66" s="151">
        <v>1</v>
      </c>
      <c r="B66" s="152" t="s">
        <v>154</v>
      </c>
      <c r="C66" s="175"/>
      <c r="D66" s="175"/>
      <c r="E66" s="176"/>
      <c r="F66" s="177"/>
    </row>
    <row r="67" spans="1:6" ht="105" x14ac:dyDescent="0.25">
      <c r="A67" s="156">
        <v>1.1000000000000001</v>
      </c>
      <c r="B67" s="157" t="s">
        <v>155</v>
      </c>
      <c r="C67" s="158"/>
      <c r="D67" s="159">
        <f>(2.5*1.8*1.3)</f>
        <v>5.8500000000000005</v>
      </c>
      <c r="E67" s="160"/>
      <c r="F67" s="160">
        <f>D67*E67</f>
        <v>0</v>
      </c>
    </row>
    <row r="68" spans="1:6" ht="45" x14ac:dyDescent="0.25">
      <c r="A68" s="156">
        <v>1.2</v>
      </c>
      <c r="B68" s="157" t="s">
        <v>156</v>
      </c>
      <c r="C68" s="158"/>
      <c r="D68" s="159">
        <f>(((1.8+1.8+2+2)*1)+(1.8*2))</f>
        <v>11.2</v>
      </c>
      <c r="E68" s="160"/>
      <c r="F68" s="160">
        <f t="shared" ref="F68:F69" si="1">D68*E68</f>
        <v>0</v>
      </c>
    </row>
    <row r="69" spans="1:6" ht="45" x14ac:dyDescent="0.25">
      <c r="A69" s="156">
        <v>1.3</v>
      </c>
      <c r="B69" s="161" t="s">
        <v>157</v>
      </c>
      <c r="C69" s="158"/>
      <c r="D69" s="159">
        <f>D68</f>
        <v>11.2</v>
      </c>
      <c r="E69" s="160"/>
      <c r="F69" s="160">
        <f t="shared" si="1"/>
        <v>0</v>
      </c>
    </row>
    <row r="70" spans="1:6" ht="16.5" x14ac:dyDescent="0.25">
      <c r="A70" s="162">
        <v>2</v>
      </c>
      <c r="B70" s="163" t="s">
        <v>158</v>
      </c>
      <c r="C70" s="153"/>
      <c r="D70" s="153"/>
      <c r="E70" s="154"/>
      <c r="F70" s="155"/>
    </row>
    <row r="71" spans="1:6" ht="135" x14ac:dyDescent="0.25">
      <c r="A71" s="156">
        <v>2.1</v>
      </c>
      <c r="B71" s="161" t="s">
        <v>159</v>
      </c>
      <c r="C71" s="158" t="s">
        <v>22</v>
      </c>
      <c r="D71" s="164">
        <v>1</v>
      </c>
      <c r="E71" s="160"/>
      <c r="F71" s="165">
        <f t="shared" ref="F71:F73" si="2">E71*D71</f>
        <v>0</v>
      </c>
    </row>
    <row r="72" spans="1:6" ht="90" x14ac:dyDescent="0.25">
      <c r="A72" s="156">
        <v>2.2000000000000002</v>
      </c>
      <c r="B72" s="161" t="s">
        <v>160</v>
      </c>
      <c r="C72" s="158" t="s">
        <v>104</v>
      </c>
      <c r="D72" s="164">
        <v>1</v>
      </c>
      <c r="E72" s="160"/>
      <c r="F72" s="165">
        <f t="shared" si="2"/>
        <v>0</v>
      </c>
    </row>
    <row r="73" spans="1:6" ht="120" x14ac:dyDescent="0.25">
      <c r="A73" s="156">
        <v>3.2</v>
      </c>
      <c r="B73" s="161" t="s">
        <v>161</v>
      </c>
      <c r="C73" s="158" t="s">
        <v>104</v>
      </c>
      <c r="D73" s="164">
        <v>1</v>
      </c>
      <c r="E73" s="160"/>
      <c r="F73" s="165">
        <f t="shared" si="2"/>
        <v>0</v>
      </c>
    </row>
    <row r="74" spans="1:6" x14ac:dyDescent="0.25">
      <c r="A74" s="166">
        <v>3</v>
      </c>
      <c r="B74" s="167" t="s">
        <v>162</v>
      </c>
      <c r="C74" s="168"/>
      <c r="D74" s="169"/>
      <c r="E74" s="170"/>
      <c r="F74" s="171"/>
    </row>
    <row r="75" spans="1:6" ht="60" x14ac:dyDescent="0.25">
      <c r="A75" s="183">
        <v>1.1000000000000001</v>
      </c>
      <c r="B75" s="184" t="s">
        <v>163</v>
      </c>
      <c r="C75" s="185" t="s">
        <v>164</v>
      </c>
      <c r="D75" s="186">
        <v>60</v>
      </c>
      <c r="E75" s="187"/>
      <c r="F75" s="188">
        <f t="shared" ref="F75" si="3">E75*D75</f>
        <v>0</v>
      </c>
    </row>
    <row r="76" spans="1:6" ht="16.5" x14ac:dyDescent="0.25">
      <c r="A76" s="191"/>
      <c r="B76" s="237" t="str">
        <f>B65</f>
        <v xml:space="preserve">One Ground Water Tank </v>
      </c>
      <c r="C76" s="238"/>
      <c r="D76" s="238"/>
      <c r="E76" s="239"/>
      <c r="F76" s="192">
        <f>SUM(F67:F75)</f>
        <v>0</v>
      </c>
    </row>
    <row r="77" spans="1:6" x14ac:dyDescent="0.25">
      <c r="A77" s="120"/>
      <c r="B77" s="121"/>
      <c r="C77" s="121"/>
      <c r="D77" s="121"/>
      <c r="E77" s="121"/>
      <c r="F77" s="121"/>
    </row>
    <row r="78" spans="1:6" x14ac:dyDescent="0.25">
      <c r="A78" s="24" t="s">
        <v>27</v>
      </c>
      <c r="B78" s="25" t="s">
        <v>127</v>
      </c>
      <c r="C78" s="26"/>
      <c r="D78" s="26"/>
      <c r="E78" s="68"/>
      <c r="F78" s="52"/>
    </row>
    <row r="79" spans="1:6" x14ac:dyDescent="0.25">
      <c r="A79" s="220" t="s">
        <v>128</v>
      </c>
      <c r="B79" s="221"/>
      <c r="C79" s="221"/>
      <c r="D79" s="221"/>
      <c r="E79" s="221"/>
      <c r="F79" s="222"/>
    </row>
    <row r="80" spans="1:6" ht="30" x14ac:dyDescent="0.25">
      <c r="A80" s="11">
        <v>1</v>
      </c>
      <c r="B80" s="12" t="s">
        <v>52</v>
      </c>
      <c r="C80" s="13" t="s">
        <v>15</v>
      </c>
      <c r="D80" s="13">
        <f>8*(10*9)</f>
        <v>720</v>
      </c>
      <c r="E80" s="70"/>
      <c r="F80" s="57">
        <f t="shared" ref="F80:F106" si="4">D80*E80</f>
        <v>0</v>
      </c>
    </row>
    <row r="81" spans="1:6" ht="60" x14ac:dyDescent="0.25">
      <c r="A81" s="11">
        <v>2</v>
      </c>
      <c r="B81" s="12" t="s">
        <v>53</v>
      </c>
      <c r="C81" s="13" t="s">
        <v>54</v>
      </c>
      <c r="D81" s="13">
        <f>(8*8.2*3+9*9)*0.5*0.7</f>
        <v>97.229999999999976</v>
      </c>
      <c r="E81" s="70"/>
      <c r="F81" s="57">
        <f t="shared" si="4"/>
        <v>0</v>
      </c>
    </row>
    <row r="82" spans="1:6" ht="45" x14ac:dyDescent="0.25">
      <c r="A82" s="11">
        <v>3</v>
      </c>
      <c r="B82" s="12" t="s">
        <v>55</v>
      </c>
      <c r="C82" s="13" t="s">
        <v>15</v>
      </c>
      <c r="D82" s="13">
        <f>(8*8.2*3+9*9)*0.5</f>
        <v>138.89999999999998</v>
      </c>
      <c r="E82" s="70"/>
      <c r="F82" s="57">
        <f t="shared" si="4"/>
        <v>0</v>
      </c>
    </row>
    <row r="83" spans="1:6" ht="45" x14ac:dyDescent="0.25">
      <c r="A83" s="11">
        <v>4</v>
      </c>
      <c r="B83" s="12" t="s">
        <v>56</v>
      </c>
      <c r="C83" s="13" t="s">
        <v>18</v>
      </c>
      <c r="D83" s="13">
        <f>(8*8.2*3+9*9)*0.9*0.4</f>
        <v>100.00799999999998</v>
      </c>
      <c r="E83" s="70"/>
      <c r="F83" s="57">
        <f t="shared" si="4"/>
        <v>0</v>
      </c>
    </row>
    <row r="84" spans="1:6" ht="105" x14ac:dyDescent="0.25">
      <c r="A84" s="11">
        <v>5</v>
      </c>
      <c r="B84" s="12" t="s">
        <v>57</v>
      </c>
      <c r="C84" s="16" t="s">
        <v>18</v>
      </c>
      <c r="D84" s="13">
        <f>(8*8.2*3+9*9)*0.2*0.4</f>
        <v>22.224</v>
      </c>
      <c r="E84" s="56"/>
      <c r="F84" s="57">
        <f t="shared" si="4"/>
        <v>0</v>
      </c>
    </row>
    <row r="85" spans="1:6" ht="90" x14ac:dyDescent="0.25">
      <c r="A85" s="11">
        <v>6</v>
      </c>
      <c r="B85" s="12" t="s">
        <v>58</v>
      </c>
      <c r="C85" s="16" t="s">
        <v>18</v>
      </c>
      <c r="D85" s="11">
        <f>(9*2+17)*(0.7*0.7*0.3)</f>
        <v>5.1449999999999987</v>
      </c>
      <c r="E85" s="56"/>
      <c r="F85" s="57">
        <f t="shared" si="4"/>
        <v>0</v>
      </c>
    </row>
    <row r="86" spans="1:6" ht="90" x14ac:dyDescent="0.25">
      <c r="A86" s="11">
        <v>7</v>
      </c>
      <c r="B86" s="12" t="s">
        <v>129</v>
      </c>
      <c r="C86" s="13" t="s">
        <v>18</v>
      </c>
      <c r="D86" s="11">
        <f>(9*2+17)*(1*0.2*0.2)</f>
        <v>1.4000000000000004</v>
      </c>
      <c r="E86" s="94"/>
      <c r="F86" s="57">
        <f t="shared" si="4"/>
        <v>0</v>
      </c>
    </row>
    <row r="87" spans="1:6" ht="30" x14ac:dyDescent="0.25">
      <c r="A87" s="11">
        <v>8</v>
      </c>
      <c r="B87" s="12" t="s">
        <v>60</v>
      </c>
      <c r="C87" s="11" t="s">
        <v>18</v>
      </c>
      <c r="D87" s="73">
        <f>8*8*9*0.2</f>
        <v>115.2</v>
      </c>
      <c r="E87" s="70"/>
      <c r="F87" s="57">
        <f t="shared" si="4"/>
        <v>0</v>
      </c>
    </row>
    <row r="88" spans="1:6" x14ac:dyDescent="0.25">
      <c r="A88" s="11">
        <v>9</v>
      </c>
      <c r="B88" s="12" t="s">
        <v>61</v>
      </c>
      <c r="C88" s="11" t="s">
        <v>15</v>
      </c>
      <c r="D88" s="73">
        <f>8*8*9</f>
        <v>576</v>
      </c>
      <c r="E88" s="70"/>
      <c r="F88" s="57">
        <f t="shared" si="4"/>
        <v>0</v>
      </c>
    </row>
    <row r="89" spans="1:6" ht="45" x14ac:dyDescent="0.25">
      <c r="A89" s="11">
        <v>10</v>
      </c>
      <c r="B89" s="12" t="s">
        <v>62</v>
      </c>
      <c r="C89" s="13" t="s">
        <v>15</v>
      </c>
      <c r="D89" s="74">
        <f>D88</f>
        <v>576</v>
      </c>
      <c r="E89" s="56"/>
      <c r="F89" s="57">
        <f t="shared" si="4"/>
        <v>0</v>
      </c>
    </row>
    <row r="90" spans="1:6" ht="120" x14ac:dyDescent="0.25">
      <c r="A90" s="11">
        <v>11</v>
      </c>
      <c r="B90" s="12" t="s">
        <v>63</v>
      </c>
      <c r="C90" s="11" t="s">
        <v>18</v>
      </c>
      <c r="D90" s="73">
        <f>8*8*9*0.08</f>
        <v>46.08</v>
      </c>
      <c r="E90" s="70"/>
      <c r="F90" s="57">
        <f t="shared" si="4"/>
        <v>0</v>
      </c>
    </row>
    <row r="91" spans="1:6" ht="90" x14ac:dyDescent="0.25">
      <c r="A91" s="11">
        <v>12</v>
      </c>
      <c r="B91" s="12" t="s">
        <v>130</v>
      </c>
      <c r="C91" s="13" t="s">
        <v>18</v>
      </c>
      <c r="D91" s="11">
        <f>(9*2+17)*(3.2*0.2*0.2)</f>
        <v>4.4800000000000013</v>
      </c>
      <c r="E91" s="94"/>
      <c r="F91" s="57">
        <f t="shared" si="4"/>
        <v>0</v>
      </c>
    </row>
    <row r="92" spans="1:6" ht="45" x14ac:dyDescent="0.25">
      <c r="A92" s="11">
        <v>13</v>
      </c>
      <c r="B92" s="12" t="s">
        <v>64</v>
      </c>
      <c r="C92" s="13" t="s">
        <v>15</v>
      </c>
      <c r="D92" s="13">
        <f>(8*8*2+7*9)*3.2-(5*1.2*1.2+1.2*2.1)*8</f>
        <v>533.44000000000005</v>
      </c>
      <c r="E92" s="70"/>
      <c r="F92" s="57">
        <f t="shared" si="4"/>
        <v>0</v>
      </c>
    </row>
    <row r="93" spans="1:6" ht="90" x14ac:dyDescent="0.25">
      <c r="A93" s="11">
        <v>14</v>
      </c>
      <c r="B93" s="12" t="s">
        <v>65</v>
      </c>
      <c r="C93" s="13" t="s">
        <v>18</v>
      </c>
      <c r="D93" s="13">
        <f>(8*8*1.75)*0.2*0.15</f>
        <v>3.3600000000000003</v>
      </c>
      <c r="E93" s="94"/>
      <c r="F93" s="57">
        <f>D93*E93</f>
        <v>0</v>
      </c>
    </row>
    <row r="94" spans="1:6" ht="90" x14ac:dyDescent="0.25">
      <c r="A94" s="11">
        <v>15</v>
      </c>
      <c r="B94" s="12" t="s">
        <v>66</v>
      </c>
      <c r="C94" s="13" t="s">
        <v>18</v>
      </c>
      <c r="D94" s="13">
        <f>(8*8.4*2+7.2*9)*0.2*0.2</f>
        <v>7.9680000000000009</v>
      </c>
      <c r="E94" s="94"/>
      <c r="F94" s="57">
        <f>D94*E94</f>
        <v>0</v>
      </c>
    </row>
    <row r="95" spans="1:6" ht="90" x14ac:dyDescent="0.25">
      <c r="A95" s="11">
        <v>16</v>
      </c>
      <c r="B95" s="12" t="s">
        <v>67</v>
      </c>
      <c r="C95" s="11" t="s">
        <v>18</v>
      </c>
      <c r="D95" s="13">
        <f>(8*8.2*3+9*9)*0.2*0.3</f>
        <v>16.667999999999999</v>
      </c>
      <c r="E95" s="70"/>
      <c r="F95" s="57">
        <f t="shared" si="4"/>
        <v>0</v>
      </c>
    </row>
    <row r="96" spans="1:6" ht="135" x14ac:dyDescent="0.25">
      <c r="A96" s="11">
        <v>17</v>
      </c>
      <c r="B96" s="12" t="s">
        <v>131</v>
      </c>
      <c r="C96" s="11" t="s">
        <v>15</v>
      </c>
      <c r="D96" s="11">
        <f>8*8.3*9.6*1.5</f>
        <v>956.16000000000008</v>
      </c>
      <c r="E96" s="70"/>
      <c r="F96" s="57">
        <f t="shared" si="4"/>
        <v>0</v>
      </c>
    </row>
    <row r="97" spans="1:6" ht="60" x14ac:dyDescent="0.25">
      <c r="A97" s="11">
        <v>18</v>
      </c>
      <c r="B97" s="12" t="s">
        <v>70</v>
      </c>
      <c r="C97" s="11" t="s">
        <v>15</v>
      </c>
      <c r="D97" s="73">
        <f>D89</f>
        <v>576</v>
      </c>
      <c r="E97" s="70"/>
      <c r="F97" s="57">
        <f t="shared" si="4"/>
        <v>0</v>
      </c>
    </row>
    <row r="98" spans="1:6" ht="75" x14ac:dyDescent="0.25">
      <c r="A98" s="11">
        <v>19</v>
      </c>
      <c r="B98" s="12" t="s">
        <v>71</v>
      </c>
      <c r="C98" s="16" t="s">
        <v>24</v>
      </c>
      <c r="D98" s="16">
        <v>1</v>
      </c>
      <c r="E98" s="56"/>
      <c r="F98" s="57">
        <f t="shared" si="4"/>
        <v>0</v>
      </c>
    </row>
    <row r="99" spans="1:6" ht="45" x14ac:dyDescent="0.25">
      <c r="A99" s="11">
        <v>20</v>
      </c>
      <c r="B99" s="76" t="s">
        <v>72</v>
      </c>
      <c r="C99" s="77" t="s">
        <v>15</v>
      </c>
      <c r="D99" s="13">
        <f>(8*8*2+7*8*2)*3.4-(5*1.2*1.2+1.2*2.1)*8</f>
        <v>738.24</v>
      </c>
      <c r="E99" s="122"/>
      <c r="F99" s="57">
        <f t="shared" si="4"/>
        <v>0</v>
      </c>
    </row>
    <row r="100" spans="1:6" ht="45" x14ac:dyDescent="0.25">
      <c r="A100" s="11">
        <v>21</v>
      </c>
      <c r="B100" s="76" t="s">
        <v>73</v>
      </c>
      <c r="C100" s="77" t="s">
        <v>15</v>
      </c>
      <c r="D100" s="13">
        <f>(8*8.3*2.2+7.4*2.3)*4-(5*1.2*1.2+1.2*2.1)*8</f>
        <v>574.6400000000001</v>
      </c>
      <c r="E100" s="122"/>
      <c r="F100" s="57">
        <f>D100*E100</f>
        <v>0</v>
      </c>
    </row>
    <row r="101" spans="1:6" ht="90" x14ac:dyDescent="0.25">
      <c r="A101" s="11">
        <v>22</v>
      </c>
      <c r="B101" s="76" t="s">
        <v>179</v>
      </c>
      <c r="C101" s="77" t="s">
        <v>15</v>
      </c>
      <c r="D101" s="16">
        <f>D99</f>
        <v>738.24</v>
      </c>
      <c r="E101" s="122"/>
      <c r="F101" s="57">
        <f t="shared" si="4"/>
        <v>0</v>
      </c>
    </row>
    <row r="102" spans="1:6" ht="45" x14ac:dyDescent="0.25">
      <c r="A102" s="11">
        <v>23</v>
      </c>
      <c r="B102" s="76" t="s">
        <v>74</v>
      </c>
      <c r="C102" s="11" t="s">
        <v>15</v>
      </c>
      <c r="D102" s="77">
        <f>D100</f>
        <v>574.6400000000001</v>
      </c>
      <c r="E102" s="122"/>
      <c r="F102" s="57">
        <f t="shared" si="4"/>
        <v>0</v>
      </c>
    </row>
    <row r="103" spans="1:6" ht="45" x14ac:dyDescent="0.25">
      <c r="A103" s="11">
        <v>24</v>
      </c>
      <c r="B103" s="123" t="s">
        <v>132</v>
      </c>
      <c r="C103" s="30" t="s">
        <v>22</v>
      </c>
      <c r="D103" s="13">
        <v>8</v>
      </c>
      <c r="E103" s="94"/>
      <c r="F103" s="57">
        <f t="shared" si="4"/>
        <v>0</v>
      </c>
    </row>
    <row r="104" spans="1:6" ht="165" x14ac:dyDescent="0.25">
      <c r="A104" s="11">
        <v>25</v>
      </c>
      <c r="B104" s="20" t="s">
        <v>76</v>
      </c>
      <c r="C104" s="30" t="s">
        <v>22</v>
      </c>
      <c r="D104" s="11">
        <f>8*5</f>
        <v>40</v>
      </c>
      <c r="E104" s="70"/>
      <c r="F104" s="57">
        <f t="shared" si="4"/>
        <v>0</v>
      </c>
    </row>
    <row r="105" spans="1:6" ht="75" x14ac:dyDescent="0.25">
      <c r="A105" s="11">
        <v>26</v>
      </c>
      <c r="B105" s="21" t="s">
        <v>25</v>
      </c>
      <c r="C105" s="124" t="s">
        <v>22</v>
      </c>
      <c r="D105" s="30">
        <v>2</v>
      </c>
      <c r="E105" s="125"/>
      <c r="F105" s="57">
        <f t="shared" si="4"/>
        <v>0</v>
      </c>
    </row>
    <row r="106" spans="1:6" ht="30" x14ac:dyDescent="0.25">
      <c r="A106" s="11">
        <v>27</v>
      </c>
      <c r="B106" s="21" t="s">
        <v>133</v>
      </c>
      <c r="C106" s="13" t="s">
        <v>20</v>
      </c>
      <c r="D106" s="13">
        <v>8</v>
      </c>
      <c r="E106" s="13"/>
      <c r="F106" s="57">
        <f t="shared" si="4"/>
        <v>0</v>
      </c>
    </row>
    <row r="107" spans="1:6" x14ac:dyDescent="0.25">
      <c r="A107" s="34"/>
      <c r="B107" s="246" t="s">
        <v>134</v>
      </c>
      <c r="C107" s="247"/>
      <c r="D107" s="247"/>
      <c r="E107" s="248"/>
      <c r="F107" s="35">
        <f>SUM(F80:F106)</f>
        <v>0</v>
      </c>
    </row>
    <row r="108" spans="1:6" x14ac:dyDescent="0.25">
      <c r="A108" s="113"/>
      <c r="B108" s="267"/>
      <c r="C108" s="268"/>
      <c r="D108" s="268"/>
      <c r="E108" s="269"/>
      <c r="F108" s="109"/>
    </row>
    <row r="109" spans="1:6" x14ac:dyDescent="0.25">
      <c r="A109" s="30"/>
      <c r="B109" s="42"/>
      <c r="C109" s="270"/>
      <c r="D109" s="270"/>
      <c r="E109" s="271"/>
      <c r="F109" s="127"/>
    </row>
    <row r="110" spans="1:6" x14ac:dyDescent="0.25">
      <c r="A110" s="24" t="s">
        <v>78</v>
      </c>
      <c r="B110" s="128" t="s">
        <v>40</v>
      </c>
      <c r="C110" s="129"/>
      <c r="D110" s="130"/>
      <c r="E110" s="51"/>
      <c r="F110" s="52"/>
    </row>
    <row r="111" spans="1:6" ht="90" x14ac:dyDescent="0.25">
      <c r="A111" s="11">
        <v>1</v>
      </c>
      <c r="B111" s="131" t="s">
        <v>41</v>
      </c>
      <c r="C111" s="132" t="s">
        <v>42</v>
      </c>
      <c r="D111" s="133">
        <v>1</v>
      </c>
      <c r="E111" s="56"/>
      <c r="F111" s="57">
        <f t="shared" ref="F111" si="5">D111*E111</f>
        <v>0</v>
      </c>
    </row>
    <row r="112" spans="1:6" x14ac:dyDescent="0.25">
      <c r="A112" s="34"/>
      <c r="B112" s="246" t="s">
        <v>43</v>
      </c>
      <c r="C112" s="247"/>
      <c r="D112" s="247"/>
      <c r="E112" s="248"/>
      <c r="F112" s="58">
        <f>SUM(F111)</f>
        <v>0</v>
      </c>
    </row>
    <row r="113" spans="1:6" x14ac:dyDescent="0.25">
      <c r="A113" s="41"/>
      <c r="B113" s="272"/>
      <c r="C113" s="270"/>
      <c r="D113" s="270"/>
      <c r="E113" s="271"/>
      <c r="F113" s="45"/>
    </row>
    <row r="114" spans="1:6" x14ac:dyDescent="0.25">
      <c r="A114" s="195"/>
      <c r="B114" s="236" t="s">
        <v>170</v>
      </c>
      <c r="C114" s="236"/>
      <c r="D114" s="236"/>
      <c r="E114" s="236"/>
      <c r="F114" s="197"/>
    </row>
    <row r="115" spans="1:6" ht="15.75" x14ac:dyDescent="0.25">
      <c r="A115" s="36" t="s">
        <v>11</v>
      </c>
      <c r="B115" s="273" t="str">
        <f>B63</f>
        <v>Subtotal for two twin latrine</v>
      </c>
      <c r="C115" s="253"/>
      <c r="D115" s="253"/>
      <c r="E115" s="254"/>
      <c r="F115" s="199">
        <f>F63</f>
        <v>0</v>
      </c>
    </row>
    <row r="116" spans="1:6" ht="15.75" x14ac:dyDescent="0.25">
      <c r="A116" s="36" t="s">
        <v>39</v>
      </c>
      <c r="B116" s="255" t="str">
        <f>B76</f>
        <v xml:space="preserve">One Ground Water Tank </v>
      </c>
      <c r="C116" s="256"/>
      <c r="D116" s="256"/>
      <c r="E116" s="257"/>
      <c r="F116" s="199">
        <f>F76</f>
        <v>0</v>
      </c>
    </row>
    <row r="117" spans="1:6" ht="15.75" x14ac:dyDescent="0.25">
      <c r="A117" s="36" t="s">
        <v>27</v>
      </c>
      <c r="B117" s="252" t="str">
        <f>B107</f>
        <v>Subtotal for 8 new classrooms</v>
      </c>
      <c r="C117" s="253"/>
      <c r="D117" s="253"/>
      <c r="E117" s="254"/>
      <c r="F117" s="199">
        <f>F107</f>
        <v>0</v>
      </c>
    </row>
    <row r="118" spans="1:6" ht="15.75" x14ac:dyDescent="0.25">
      <c r="A118" s="41" t="s">
        <v>78</v>
      </c>
      <c r="B118" s="274" t="str">
        <f>B112</f>
        <v xml:space="preserve">Subtotal for visibility </v>
      </c>
      <c r="C118" s="275"/>
      <c r="D118" s="275"/>
      <c r="E118" s="276"/>
      <c r="F118" s="199">
        <f>F112</f>
        <v>0</v>
      </c>
    </row>
    <row r="119" spans="1:6" ht="15.75" x14ac:dyDescent="0.25">
      <c r="A119" s="41"/>
      <c r="B119" s="272"/>
      <c r="C119" s="270"/>
      <c r="D119" s="270"/>
      <c r="E119" s="271"/>
      <c r="F119" s="199"/>
    </row>
    <row r="120" spans="1:6" ht="16.5" thickBot="1" x14ac:dyDescent="0.3">
      <c r="A120" s="60"/>
      <c r="B120" s="226" t="s">
        <v>44</v>
      </c>
      <c r="C120" s="227"/>
      <c r="D120" s="227"/>
      <c r="E120" s="228"/>
      <c r="F120" s="61">
        <f>F118+F117+F116+F115</f>
        <v>0</v>
      </c>
    </row>
    <row r="121" spans="1:6" ht="15.75" thickBot="1" x14ac:dyDescent="0.3">
      <c r="A121" s="62"/>
      <c r="B121" s="63"/>
      <c r="C121" s="64"/>
      <c r="D121" s="64"/>
      <c r="E121" s="64"/>
      <c r="F121" s="65"/>
    </row>
    <row r="122" spans="1:6" x14ac:dyDescent="0.25">
      <c r="A122" s="66"/>
      <c r="B122" s="67" t="s">
        <v>45</v>
      </c>
      <c r="C122" s="229"/>
      <c r="D122" s="230"/>
      <c r="E122" s="230"/>
      <c r="F122" s="231"/>
    </row>
    <row r="123" spans="1:6" x14ac:dyDescent="0.25">
      <c r="A123" s="66"/>
      <c r="B123" s="67" t="s">
        <v>46</v>
      </c>
      <c r="C123" s="214"/>
      <c r="D123" s="215"/>
      <c r="E123" s="215"/>
      <c r="F123" s="216"/>
    </row>
    <row r="124" spans="1:6" x14ac:dyDescent="0.25">
      <c r="A124" s="66"/>
      <c r="B124" s="67" t="s">
        <v>47</v>
      </c>
      <c r="C124" s="214"/>
      <c r="D124" s="215"/>
      <c r="E124" s="215"/>
      <c r="F124" s="216"/>
    </row>
    <row r="125" spans="1:6" ht="15.75" thickBot="1" x14ac:dyDescent="0.3">
      <c r="A125" s="66"/>
      <c r="B125" s="67" t="s">
        <v>48</v>
      </c>
      <c r="C125" s="217"/>
      <c r="D125" s="218"/>
      <c r="E125" s="218"/>
      <c r="F125" s="219"/>
    </row>
    <row r="126" spans="1:6" x14ac:dyDescent="0.25">
      <c r="A126" s="62"/>
      <c r="B126" s="63"/>
      <c r="C126" s="64"/>
      <c r="D126" s="64"/>
      <c r="E126" s="64"/>
      <c r="F126" s="65"/>
    </row>
  </sheetData>
  <mergeCells count="22">
    <mergeCell ref="B76:E76"/>
    <mergeCell ref="B1:F1"/>
    <mergeCell ref="B2:F2"/>
    <mergeCell ref="B3:F3"/>
    <mergeCell ref="B62:E62"/>
    <mergeCell ref="B63:E63"/>
    <mergeCell ref="C123:F123"/>
    <mergeCell ref="C124:F125"/>
    <mergeCell ref="A79:F79"/>
    <mergeCell ref="B107:E107"/>
    <mergeCell ref="B112:E112"/>
    <mergeCell ref="B120:E120"/>
    <mergeCell ref="C122:F122"/>
    <mergeCell ref="B108:E108"/>
    <mergeCell ref="C109:E109"/>
    <mergeCell ref="B113:E113"/>
    <mergeCell ref="B114:E114"/>
    <mergeCell ref="B115:E115"/>
    <mergeCell ref="B116:E116"/>
    <mergeCell ref="B117:E117"/>
    <mergeCell ref="B118:E118"/>
    <mergeCell ref="B119:E11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Lot-1 Summary Sheet</vt:lpstr>
      <vt:lpstr>Moqokori PS</vt:lpstr>
      <vt:lpstr>Hassan Barsane PS</vt:lpstr>
      <vt:lpstr>Jawil PS</vt:lpstr>
      <vt:lpstr>Feerfeer PS</vt:lpstr>
      <vt:lpstr>'Hassan Barsane PS'!Print_Area</vt:lpstr>
      <vt:lpstr>'Lot-1 Summary Sheet'!Print_Area</vt:lpstr>
      <vt:lpstr>'Moqokori PS'!Print_Area</vt:lpstr>
    </vt:vector>
  </TitlesOfParts>
  <Company>Save the Children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Hassan4, Abdullahi</dc:creator>
  <cp:lastModifiedBy>Hassan4, Abdullahi</cp:lastModifiedBy>
  <dcterms:created xsi:type="dcterms:W3CDTF">2025-04-10T08:40:25Z</dcterms:created>
  <dcterms:modified xsi:type="dcterms:W3CDTF">2025-04-20T08:31:37Z</dcterms:modified>
</cp:coreProperties>
</file>