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720" firstSheet="5" activeTab="7"/>
  </bookViews>
  <sheets>
    <sheet name="Bill No.0.0 Prelim&amp;demolition" sheetId="8" r:id="rId1"/>
    <sheet name="BILL NO.01  MAIN WARDS BLOCK" sheetId="1" r:id="rId2"/>
    <sheet name="BILL No. 02 OPD" sheetId="2" r:id="rId3"/>
    <sheet name="Bill No. 03 MATERNITY" sheetId="4" r:id="rId4"/>
    <sheet name="Bill No. 04 EMERGENCY AND" sheetId="5" r:id="rId5"/>
    <sheet name="BILL No. 05 RESTAURANT AND SECU" sheetId="6" r:id="rId6"/>
    <sheet name="Bill NO. 06  EXTERNAL WORKS" sheetId="7" r:id="rId7"/>
    <sheet name="SUMMARY" sheetId="9" r:id="rId8"/>
  </sheets>
  <definedNames>
    <definedName name="_xlnm.Print_Area" localSheetId="2">'BILL No. 02 OPD'!$A$1:$F$44</definedName>
    <definedName name="_xlnm.Print_Area" localSheetId="3">'Bill No. 03 MATERNITY'!$A$1:$F$47</definedName>
    <definedName name="_xlnm.Print_Area" localSheetId="4">'Bill No. 04 EMERGENCY AND'!$A$1:$F$47</definedName>
    <definedName name="_xlnm.Print_Area" localSheetId="5">'BILL No. 05 RESTAURANT AND SECU'!$A$1:$F$48</definedName>
    <definedName name="_xlnm.Print_Area" localSheetId="6">'Bill NO. 06  EXTERNAL WORKS'!$A$2:$F$56</definedName>
    <definedName name="_xlnm.Print_Area" localSheetId="0">'Bill No.0.0 Prelim&amp;demolition'!$A$2:$F$26</definedName>
    <definedName name="_xlnm.Print_Area" localSheetId="1">'BILL NO.01  MAIN WARDS BLOCK'!$A$1:$F$51</definedName>
    <definedName name="_xlnm.Print_Area" localSheetId="7">SUMMARY!$A$1:$D$29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<sst xmlns="http://schemas.openxmlformats.org/spreadsheetml/2006/main" count="799" uniqueCount="503">
  <si>
    <r>
      <rPr>
        <b/>
        <sz val="11"/>
        <color theme="1"/>
        <rFont val="Times New Roman"/>
        <charset val="134"/>
      </rPr>
      <t>PROJECT:</t>
    </r>
    <r>
      <rPr>
        <sz val="11"/>
        <color theme="1"/>
        <rFont val="Times New Roman"/>
        <charset val="134"/>
      </rPr>
      <t xml:space="preserve"> ADALE HOSPITAL REHABILITATION &amp; EXPANSION</t>
    </r>
  </si>
  <si>
    <r>
      <rPr>
        <b/>
        <sz val="11"/>
        <color theme="1"/>
        <rFont val="Times New Roman"/>
        <charset val="134"/>
      </rPr>
      <t>PLOT SELECTION:</t>
    </r>
    <r>
      <rPr>
        <sz val="11"/>
        <color theme="1"/>
        <rFont val="Times New Roman"/>
        <charset val="134"/>
      </rPr>
      <t xml:space="preserve"> GENERAL PRELIMINARIES, SITE MOBILIZATION &amp; STRUCTURAL DEMOLITIONS</t>
    </r>
  </si>
  <si>
    <t>BILL OF QUANTITIES NO. 00: GENERAL PRELIMINARIES &amp; DEMOLITIONS</t>
  </si>
  <si>
    <t>Item No.</t>
  </si>
  <si>
    <t>Description</t>
  </si>
  <si>
    <t>Unit</t>
  </si>
  <si>
    <t>Qty</t>
  </si>
  <si>
    <t>Rate ($)</t>
  </si>
  <si>
    <t>Amount ($)</t>
  </si>
  <si>
    <t>MOBILIZATION &amp; SITE ESTABLISHMENT (FIDIC CLAUSE 4.1)</t>
  </si>
  <si>
    <t>0.1.1</t>
  </si>
  <si>
    <t>Mobilize to site all heavy earthmoving equipment, concrete mixing plants, dumpers, and specialized civil engineering tools required for structural works.</t>
  </si>
  <si>
    <t>Sum</t>
  </si>
  <si>
    <t>0.1.2</t>
  </si>
  <si>
    <t>Erect temporary site offices for the Resident Engineer / Project Engineer, fully furnished, air-conditioned, and equipped with communication lines, including routine maintenance for the contract duration.</t>
  </si>
  <si>
    <t>Month</t>
  </si>
  <si>
    <t>0.1.3</t>
  </si>
  <si>
    <t>Erect temporary signboards, site security hoarding/fencing using corrugated sheets, and secure access gates around the site perimeter.</t>
  </si>
  <si>
    <t>Item</t>
  </si>
  <si>
    <t>0.1.4</t>
  </si>
  <si>
    <t>Demobilize all plant, equipment, temporary offices, and clean up the site upon practical completion of the works.</t>
  </si>
  <si>
    <t>HEALTH, SAFETY &amp; ENVIRONMENTAL MANAGEMENT (FIDIC CLAUSE 4.18)</t>
  </si>
  <si>
    <t>0.2.1</t>
  </si>
  <si>
    <t>Implement Health and Safety (H&amp;S) plan, including provision of personal protective equipment (PPE) for all personnel, medical first aid kits, and regular site safety orientations.</t>
  </si>
  <si>
    <t>0.2.2</t>
  </si>
  <si>
    <t>Environmental mitigation works, including dust control watering, control of soil erosion, and management of waste runoff to protect the coastal marine ecosystem.</t>
  </si>
  <si>
    <t>SITE PREPARATION &amp; CLEARANCE</t>
  </si>
  <si>
    <t>0.3.1</t>
  </si>
  <si>
    <t>Clear the site area of all bushes, shrubs, surface scrub, debris, and small trees, including grabbing up roots and removing materials off-site.</t>
  </si>
  <si>
    <t>m2</t>
  </si>
  <si>
    <t>0.3.2</t>
  </si>
  <si>
    <t>Control and divert surface water runoff or localized groundwater inflows during early construction phases using temporary perimeter channels or pumping.</t>
  </si>
  <si>
    <t>STRUCTURAL DEMOLITIONS &amp; HAZARDOUS WASTE REMOVAL</t>
  </si>
  <si>
    <t>0.4.1</t>
  </si>
  <si>
    <t>Demolish Block Type A (Dimension 35.0m x 9.0m) consisting of single-story masonry brick walling, reinforced concrete ring beams, roofing structure, and ground floor slabs.</t>
  </si>
  <si>
    <t>0.4.2</t>
  </si>
  <si>
    <t>Demolish Block Type B (Dimension 8.0m x 20.0m) consisting of single-story stone block masonry walling, timber trusses, sheet roofing, and ground slabs.</t>
  </si>
  <si>
    <t>0.4.3</t>
  </si>
  <si>
    <t>Demolish two runs of dilapidated external masonry/concrete boundary fence walls, total structural length of 100.0m up to 2.5m height, including clearing old foundation footprints.</t>
  </si>
  <si>
    <t>m</t>
  </si>
  <si>
    <t>0.4.4</t>
  </si>
  <si>
    <t>Load, transport, and legally dispose of all generated masonry rubble, concrete chunks, scrap timber, and roofing sheets to an approved municipal dumpsite away from the hospital boundary.</t>
  </si>
  <si>
    <t>Ton</t>
  </si>
  <si>
    <t>Total</t>
  </si>
  <si>
    <r>
      <rPr>
        <b/>
        <sz val="11"/>
        <color theme="1"/>
        <rFont val="Arial"/>
        <charset val="134"/>
      </rPr>
      <t>PROJECT:</t>
    </r>
    <r>
      <rPr>
        <sz val="11"/>
        <color theme="1"/>
        <rFont val="Arial"/>
        <charset val="134"/>
      </rPr>
      <t xml:space="preserve"> ADALE HOSPITAL REHABILITATION &amp; EXPANSION</t>
    </r>
  </si>
  <si>
    <t>Bill of Quantities No. 01: Main Wards Block (Plot 1)</t>
  </si>
  <si>
    <t>Bill No. 1: Substructure (Foundation Works)</t>
  </si>
  <si>
    <t>Rate</t>
  </si>
  <si>
    <t>Amount</t>
  </si>
  <si>
    <t>Earthworks</t>
  </si>
  <si>
    <t>1.1.1</t>
  </si>
  <si>
    <t>Excavate oversite to remove topsoil and marine organic matter, average depth 150mm.</t>
  </si>
  <si>
    <t>m3</t>
  </si>
  <si>
    <t>1.1.2</t>
  </si>
  <si>
    <t>Excavate trenches for strip foundation footings, width 600mm, depth 1.2m from stripped level.</t>
  </si>
  <si>
    <t>1.1.3</t>
  </si>
  <si>
    <t>Provide, place, and compact approved granular hardcore material in 150mm layers under floor slabs.</t>
  </si>
  <si>
    <t>1.1.4</t>
  </si>
  <si>
    <t>Anti-termite chemical treatment applied to surface of hardcore and excavation faces.</t>
  </si>
  <si>
    <t>Concrete Works (Substructure - SRPC)</t>
  </si>
  <si>
    <t>1.2.1</t>
  </si>
  <si>
    <t>50mm thick mass concrete blinding (Class 15/20) under strip footings.</t>
  </si>
  <si>
    <t>1.2.2</t>
  </si>
  <si>
    <t>Reinforced concrete (Class 25/30) using SRPC cement in strip footings (600mm x 300mm).</t>
  </si>
  <si>
    <t>1.2.3</t>
  </si>
  <si>
    <t>Reinforced concrete (Class 25/30) using SRPC cement in ground beams (200mm x 400mm) and 150mm thick ground floor slab.</t>
  </si>
  <si>
    <t>Reinforcement &amp; Formwork</t>
  </si>
  <si>
    <t>1.3.1</t>
  </si>
  <si>
    <t>High-yield deformed steel bar reinforcement (Grade 460) to footings and ground beams.</t>
  </si>
  <si>
    <t>kg</t>
  </si>
  <si>
    <t>1.3.2</t>
  </si>
  <si>
    <t>Fabric reinforcement mesh (Ref. A142) in floor slab, including 200mm overlaps.</t>
  </si>
  <si>
    <t>1.3.3</t>
  </si>
  <si>
    <t>Sawn timber formwork to sides of foundations, ground beams, and edge trims.</t>
  </si>
  <si>
    <t>Damp-Proofing &amp; Marine Protection</t>
  </si>
  <si>
    <t>1.4.1</t>
  </si>
  <si>
    <t>1000-gauge heavy-duty polythene damp-proof membrane (DPM) under floor slab.</t>
  </si>
  <si>
    <t>1.4.2</t>
  </si>
  <si>
    <t>Two coats of bitumen-based water/chloride-resistant emulsion coating to buried concrete faces.</t>
  </si>
  <si>
    <t>Superstructure (Walling &amp; Concrete)</t>
  </si>
  <si>
    <t>1.5.1</t>
  </si>
  <si>
    <t>Reinforced concrete Class 25/30 with chloride-inhibiting admixtures for ring beams (200x300mm) and columns.</t>
  </si>
  <si>
    <t>1.5.2</t>
  </si>
  <si>
    <t>Formwork to sides and soffits of columns and ring beams.</t>
  </si>
  <si>
    <t>1.5.3</t>
  </si>
  <si>
    <t>High-yield steel bar reinforcement in superstructure columns and beams.</t>
  </si>
  <si>
    <t>1.5.4</t>
  </si>
  <si>
    <t>Precast solid concrete block walling (200mm thick) in cement-sand mortar (1:3) for external perimeters.</t>
  </si>
  <si>
    <t>1.5.5</t>
  </si>
  <si>
    <t>Precast solid concrete block walling (150mm thick) in cement-sand mortar (1:3) for internal ward partitions.</t>
  </si>
  <si>
    <t xml:space="preserve"> Roofing &amp; Ceiling Systems</t>
  </si>
  <si>
    <t>1.6.1</t>
  </si>
  <si>
    <t>Marine-grade treated timber roof structure including trusses, purlins, and wall plates.</t>
  </si>
  <si>
    <t>1.6.2</t>
  </si>
  <si>
    <t xml:space="preserve">Gauge 28 Pre-painted Aluzinc (PPGL) corrugated roof sheeting with marine-grade PVDF coating, fixed to timber purlins with corrosion-resistant EPDM-washered roofing screws, all in accordance with Technical Specification. </t>
  </si>
  <si>
    <t>1.6.3</t>
  </si>
  <si>
    <t>Matching Gauge 28 pre-painted GI ridge caps and flashings.</t>
  </si>
  <si>
    <t>1.6.4</t>
  </si>
  <si>
    <r>
      <rPr>
        <b/>
        <sz val="11"/>
        <color rgb="FF1F1F1F"/>
        <rFont val="Arial"/>
        <charset val="134"/>
      </rPr>
      <t>600x600mm False Ceiling Tiles</t>
    </r>
    <r>
      <rPr>
        <sz val="11"/>
        <color rgb="FF1F1F1F"/>
        <rFont val="Arial"/>
        <charset val="134"/>
      </rPr>
      <t xml:space="preserve"> (Moisture-resistant, anti-microbial medical grade) on anti-corrosive aluminum T-grid.</t>
    </r>
  </si>
  <si>
    <t>Windows &amp; Doors)</t>
  </si>
  <si>
    <t>1.7.1</t>
  </si>
  <si>
    <r>
      <rPr>
        <b/>
        <sz val="11"/>
        <color rgb="FF1F1F1F"/>
        <rFont val="Arial"/>
        <charset val="134"/>
      </rPr>
      <t>Powder-coated Aluminum frame sliding windows</t>
    </r>
    <r>
      <rPr>
        <sz val="11"/>
        <color rgb="FF1F1F1F"/>
        <rFont val="Arial"/>
        <charset val="134"/>
      </rPr>
      <t xml:space="preserve"> (60-micron marine finish) with 6mm tinted float glass and integrated fly-screens.</t>
    </r>
  </si>
  <si>
    <t>1.7.2</t>
  </si>
  <si>
    <t>Heavy-duty double-leaf flush wooden doors with laminate finish for main ward access. (1.2m)</t>
  </si>
  <si>
    <t>No.</t>
  </si>
  <si>
    <t>1.7.3</t>
  </si>
  <si>
    <t>Single-leaf semi-solid core flush wooden doors for administrative offices and staff stations.</t>
  </si>
  <si>
    <t>1.7.4</t>
  </si>
  <si>
    <t>Heavy-duty uPVC water-resistant doors for W.C. units and wet rooms.</t>
  </si>
  <si>
    <t xml:space="preserve"> Finishes &amp; Coatings</t>
  </si>
  <si>
    <t>1.8.1</t>
  </si>
  <si>
    <t>12mm thick internal cement-sand plaster (1:4) to walls and columns, finished smooth.</t>
  </si>
  <si>
    <t>1.8.2</t>
  </si>
  <si>
    <t>15mm thick external cement-sand render (1:3) with a weather-resistant wood float texture.</t>
  </si>
  <si>
    <t>1.8.3</t>
  </si>
  <si>
    <t>Glazed ceramic wall tiles (minimum 200x300mm) to a height of 2.1m in W.C.s, Dressing, and Nursing rooms.</t>
  </si>
  <si>
    <t>1.8.4</t>
  </si>
  <si>
    <t>Non-slip homogeneous ceramic floor tiles bedded in cement mortar and finished with anti-bacterial epoxy grout.</t>
  </si>
  <si>
    <t>1.8.5</t>
  </si>
  <si>
    <t>Premium weather-resistant, anti-fungal exterior emulsion paint applied in 3 coats.</t>
  </si>
  <si>
    <t>1.8.6</t>
  </si>
  <si>
    <t>Anti-bacterial, washable vinyl silk interior emulsion paint applied in 3 coats.</t>
  </si>
  <si>
    <t>Mechanical, Electrical &amp; Plumbing (MEP) Entry</t>
  </si>
  <si>
    <t>1.9.1</t>
  </si>
  <si>
    <t>Ceramic water closet (W.C.) suites complete with flushing apparatus and marine-grade sub-surface pipe lines.</t>
  </si>
  <si>
    <t>1.9.2</t>
  </si>
  <si>
    <t>Deep-bowl stainless steel kitchen catering sinks and standard wash hand basins (WHB) complete with tap infrastructure.</t>
  </si>
  <si>
    <t>1.9.3</t>
  </si>
  <si>
    <t>LED surface/recessed clean panel lighting luminaires integrated neatly into the ceiling grids.</t>
  </si>
  <si>
    <t>PVC-insulated copper power and lighting networks routed through concealed fire-retardant PVC conduits.</t>
  </si>
  <si>
    <t xml:space="preserve">Total </t>
  </si>
  <si>
    <t>Bill No. 02: Outpatient Department (OPD) &amp; Diagnostics Block</t>
  </si>
  <si>
    <t>Earthworks &amp; Excavation</t>
  </si>
  <si>
    <t>2.1.1</t>
  </si>
  <si>
    <t>Excavate oversite to remove topsoil and coastal organic sand, average depth 150mm.</t>
  </si>
  <si>
    <t>2.1.2</t>
  </si>
  <si>
    <t>Excavate trenches for strip foundations, 600mm wide, depth 1.2m below stripped level.</t>
  </si>
  <si>
    <t>2.1.3</t>
  </si>
  <si>
    <t>Provide, lay, and compact approved granular hardcore material in 150mm layers under floor slabs.</t>
  </si>
  <si>
    <t>2.1.4</t>
  </si>
  <si>
    <t>Apply anti-termite treatment to chemical safety standards over compacted hardcore surfaces.</t>
  </si>
  <si>
    <t>Substructure Concrete &amp; Marine Protection (SRPC)</t>
  </si>
  <si>
    <t>2.2.1</t>
  </si>
  <si>
    <t>2.2.2</t>
  </si>
  <si>
    <r>
      <rPr>
        <sz val="12"/>
        <color theme="1"/>
        <rFont val="Times New Roman"/>
        <charset val="134"/>
      </rPr>
      <t xml:space="preserve">Reinforced concrete Class 25/30 using </t>
    </r>
    <r>
      <rPr>
        <b/>
        <sz val="12"/>
        <color theme="1"/>
        <rFont val="Times New Roman"/>
        <charset val="134"/>
      </rPr>
      <t>Sulfate-Resisting Portland Cement (SRPC)</t>
    </r>
    <r>
      <rPr>
        <sz val="12"/>
        <color theme="1"/>
        <rFont val="Times New Roman"/>
        <charset val="134"/>
      </rPr>
      <t xml:space="preserve"> in strip footings (600mmx300mm).</t>
    </r>
  </si>
  <si>
    <t>2.2.3</t>
  </si>
  <si>
    <r>
      <rPr>
        <sz val="12"/>
        <color theme="1"/>
        <rFont val="Times New Roman"/>
        <charset val="134"/>
      </rPr>
      <t xml:space="preserve">Reinforced concrete Class 25/30 using </t>
    </r>
    <r>
      <rPr>
        <b/>
        <sz val="12"/>
        <color theme="1"/>
        <rFont val="Times New Roman"/>
        <charset val="134"/>
      </rPr>
      <t>SRPC</t>
    </r>
    <r>
      <rPr>
        <sz val="12"/>
        <color theme="1"/>
        <rFont val="Times New Roman"/>
        <charset val="134"/>
      </rPr>
      <t xml:space="preserve"> in ground beams (200mmx400mm) and 150mm thick ground floor slab.</t>
    </r>
  </si>
  <si>
    <t>2.2.4</t>
  </si>
  <si>
    <t>High-yield deformed steel bar reinforcement (Grade 460) to sub-structural elements.</t>
  </si>
  <si>
    <t>2.2.5</t>
  </si>
  <si>
    <t>Fabric reinforcement mesh (Ref. A142) in floor slab, with 200mm minimum overlaps.</t>
  </si>
  <si>
    <t>2.2.6</t>
  </si>
  <si>
    <t>Apply two coats of bitumen-based water/chloride-resistant emulsion coating to all buried structural surfaces.</t>
  </si>
  <si>
    <t>Superstructure Walling &amp; Shielding</t>
  </si>
  <si>
    <t>2.3.1</t>
  </si>
  <si>
    <t>Precast solid concrete block walling (200mm thick) bedded and jointed in cement-sand mortar (1:3) for standard external walls.</t>
  </si>
  <si>
    <t>2.3.2</t>
  </si>
  <si>
    <r>
      <rPr>
        <sz val="12"/>
        <color theme="1"/>
        <rFont val="Times New Roman"/>
        <charset val="134"/>
      </rPr>
      <t xml:space="preserve">Precast </t>
    </r>
    <r>
      <rPr>
        <b/>
        <sz val="12"/>
        <color theme="1"/>
        <rFont val="Times New Roman"/>
        <charset val="134"/>
      </rPr>
      <t>high-density solid concrete block walling (200mm thick)</t>
    </r>
    <r>
      <rPr>
        <sz val="12"/>
        <color theme="1"/>
        <rFont val="Times New Roman"/>
        <charset val="134"/>
      </rPr>
      <t xml:space="preserve"> for </t>
    </r>
    <r>
      <rPr>
        <b/>
        <sz val="12"/>
        <color theme="1"/>
        <rFont val="Times New Roman"/>
        <charset val="134"/>
      </rPr>
      <t>X-Ray Room</t>
    </r>
    <r>
      <rPr>
        <sz val="12"/>
        <color theme="1"/>
        <rFont val="Times New Roman"/>
        <charset val="134"/>
      </rPr>
      <t>, fully grouted with cement mortar to ensure high-mass density for radiation protection.</t>
    </r>
  </si>
  <si>
    <t>2.3.3</t>
  </si>
  <si>
    <t>Precast solid concrete block walling (150mm thick) for internal clinic partitions.</t>
  </si>
  <si>
    <t>Superstructure Reinforced Concrete</t>
  </si>
  <si>
    <t>2.4.1</t>
  </si>
  <si>
    <t>Reinforced concrete Class 25/30 featuring chloride-inhibiting admixtures for ring beams (200mmx300mm) and structural columns.</t>
  </si>
  <si>
    <t>2.4.2</t>
  </si>
  <si>
    <t>Sawn timber formwork to sides and soffits of superstructure concrete members.</t>
  </si>
  <si>
    <t>2.4.3</t>
  </si>
  <si>
    <t>Roofing &amp; Ceiling Systems</t>
  </si>
  <si>
    <t>2.5.1</t>
  </si>
  <si>
    <t>Marine-grade treated timber roof structure including engineered trusses, purlins, and wall plates fixed to beams.</t>
  </si>
  <si>
    <t>2.5.2</t>
  </si>
  <si>
    <t>2.5.3</t>
  </si>
  <si>
    <r>
      <rPr>
        <b/>
        <sz val="12"/>
        <color theme="1"/>
        <rFont val="Times New Roman"/>
        <charset val="134"/>
      </rPr>
      <t>600x600mm False Ceiling Tiles</t>
    </r>
    <r>
      <rPr>
        <sz val="12"/>
        <color theme="1"/>
        <rFont val="Times New Roman"/>
        <charset val="134"/>
      </rPr>
      <t xml:space="preserve"> (Moisture-resistant, anti-microbial medical grade) suspended on an anti-corrosive aluminum T-grid system.</t>
    </r>
  </si>
  <si>
    <t>Windows, Doors &amp; Openings</t>
  </si>
  <si>
    <t>2.6.1</t>
  </si>
  <si>
    <r>
      <rPr>
        <b/>
        <sz val="12"/>
        <color theme="1"/>
        <rFont val="Times New Roman"/>
        <charset val="134"/>
      </rPr>
      <t>Powder-coated Aluminum frame sliding windows</t>
    </r>
    <r>
      <rPr>
        <sz val="12"/>
        <color theme="1"/>
        <rFont val="Times New Roman"/>
        <charset val="134"/>
      </rPr>
      <t xml:space="preserve"> with marine-grade finish (minimum coating thickness 60 microns) fitted with 6mm thick tinted float glass and integrated fly-screens.</t>
    </r>
  </si>
  <si>
    <t>2.6.2</t>
  </si>
  <si>
    <r>
      <rPr>
        <sz val="12"/>
        <color theme="1"/>
        <rFont val="Times New Roman"/>
        <charset val="134"/>
      </rPr>
      <t xml:space="preserve">Heavy-duty lead-lined single-leaf flush wooden door complete with heavy-duty frame and marine-grade handles for </t>
    </r>
    <r>
      <rPr>
        <b/>
        <sz val="12"/>
        <color theme="1"/>
        <rFont val="Times New Roman"/>
        <charset val="134"/>
      </rPr>
      <t>X-Ray room entry</t>
    </r>
    <r>
      <rPr>
        <sz val="12"/>
        <color theme="1"/>
        <rFont val="Times New Roman"/>
        <charset val="134"/>
      </rPr>
      <t>.</t>
    </r>
  </si>
  <si>
    <t>2.6.3</t>
  </si>
  <si>
    <t>Single-leaf semi-solid core flush wooden doors for consultation offices, labs, and recovery units.</t>
  </si>
  <si>
    <t>2.6.4</t>
  </si>
  <si>
    <t>Grade 316 Stainless Steel architectural ironmongery kits (hinges, lever locks, overhead door closers).</t>
  </si>
  <si>
    <t>Finishes &amp; Protective Coatings</t>
  </si>
  <si>
    <t>2.7.1</t>
  </si>
  <si>
    <t>12mm thick internal cement-sand plastering (1:4) to walls and columns, finished smooth.</t>
  </si>
  <si>
    <t>2.7.2</t>
  </si>
  <si>
    <t>15mm thick external render (1:3) applied to blockwork, finished with a wood float texture.</t>
  </si>
  <si>
    <t>2.7.3</t>
  </si>
  <si>
    <t>Non-slip homogeneous ceramic floor tiles bedded in cement mortar, finished with anti-bacterial epoxy grout.</t>
  </si>
  <si>
    <t>2.7.4</t>
  </si>
  <si>
    <t>Apply 1 undercoat and 2 coats of premium weather-resistant, anti-fungal exterior emulsion paint to external walls.</t>
  </si>
  <si>
    <t>2.7.5</t>
  </si>
  <si>
    <t>Apply 1 undercoat and 2 coats of anti-bacterial, washable silk vinyl emulsion paint to internal walls.</t>
  </si>
  <si>
    <t>MEP Provisions</t>
  </si>
  <si>
    <t>2.8.1</t>
  </si>
  <si>
    <t>Vitreous china wash hand basins (WHB) with medical-grade elbow-operated tap fittings for labs and OPD rooms.</t>
  </si>
  <si>
    <t>2.8.2</t>
  </si>
  <si>
    <t>LED cleanroom-grade recessed lighting luminaires (600mmx600mm) integrated into the false ceiling grid.</t>
  </si>
  <si>
    <t>2.8.3</t>
  </si>
  <si>
    <t>PVC-insulated copper wiring in concealed fire-retardant PVC conduits for lighting and power networks.</t>
  </si>
  <si>
    <t>BILL No. 03  - MATERNITY BLOCK</t>
  </si>
  <si>
    <t>EARTHWORKS &amp; EXCAVATION</t>
  </si>
  <si>
    <t>3.1.1</t>
  </si>
  <si>
    <t>Excavate oversite to remove topsoil and organic marine layer, average depth 150mm.</t>
  </si>
  <si>
    <t>3.1.2</t>
  </si>
  <si>
    <t>Excavate trenches for strip foundation footings, 600mm wide, depth 1.2m below stripped level.</t>
  </si>
  <si>
    <t>3.1.3</t>
  </si>
  <si>
    <t>Provide, place, and compact approved granular hardcore material in 150mm thick layers under slabs.</t>
  </si>
  <si>
    <t>3.1.4</t>
  </si>
  <si>
    <t>Chemical anti-termite treatment applied to internal excavation surfaces and hardcore beds.</t>
  </si>
  <si>
    <t>SUBSTRUCTURE CONCRETE WORKS &amp; PROTECTION (SRPC)</t>
  </si>
  <si>
    <t>3.2.1</t>
  </si>
  <si>
    <t>50mm thick mass concrete blinding (Class 15/20) beneath foundation lines.</t>
  </si>
  <si>
    <t>3.2.2</t>
  </si>
  <si>
    <t>Reinforced concrete Class 25/30 using Sulfate-Resisting Portland Cement (SRPC) in strip footings (600mm x 300mm).</t>
  </si>
  <si>
    <t>3.2.3</t>
  </si>
  <si>
    <t>Reinforced concrete Class 25/30 using SRPC in ground beams (200mm x 400mm) and 150mm thick structural floor slab.</t>
  </si>
  <si>
    <t>3.2.4</t>
  </si>
  <si>
    <t>High-yield deformed steel bar reinforcement (Grade 460) allocated to sub-structural frames.</t>
  </si>
  <si>
    <t>3.2.5</t>
  </si>
  <si>
    <t>Fabric reinforcement mesh (Ref. A142) deployed in floor slabs with 200mm laps.</t>
  </si>
  <si>
    <t>3.2.6</t>
  </si>
  <si>
    <t>Two coats of premium bitumen water/chloride-resistant coating to all buried substructure concrete elements.</t>
  </si>
  <si>
    <t>SUPERSTRUCTURE CONCRETE &amp; WALLING</t>
  </si>
  <si>
    <t>3.3.1</t>
  </si>
  <si>
    <t>Reinforced concrete Class 25/30 with chloride-inhibiting admixtures for superstructure ring beams (200mm x 300mm) and structural columns.</t>
  </si>
  <si>
    <t>3.3.2</t>
  </si>
  <si>
    <t>Sawn timber shuttering/formwork to vertical faces of superstructure column and beam grids.</t>
  </si>
  <si>
    <t>3.3.3</t>
  </si>
  <si>
    <t>High-yield steel reinforcement bars engineered for superstructure frame modules.</t>
  </si>
  <si>
    <t>3.3.4</t>
  </si>
  <si>
    <t>Precast solid concrete block walling (200mm thick) in cement-sand mortar (1:3) for external perimeter walls.</t>
  </si>
  <si>
    <t>3.3.5</t>
  </si>
  <si>
    <t>Precast solid concrete block walling (150mm thick) in cement-sand mortar (1:3) for internal clinical partitions and delivery rooms.</t>
  </si>
  <si>
    <t>ROOFING &amp; CEILING SYSTEMS</t>
  </si>
  <si>
    <t>3.4.1</t>
  </si>
  <si>
    <t>3.4.2</t>
  </si>
  <si>
    <t>3.4.3</t>
  </si>
  <si>
    <t>600x600mm False Ceiling Tiles (Moisture-resistant, anti-microbial medical grade) on an anti-corrosive aluminum T-grid system.</t>
  </si>
  <si>
    <t>WINDOWS, DOORS &amp; OPENINGS</t>
  </si>
  <si>
    <t>3.5.1</t>
  </si>
  <si>
    <t>Powder-coated Aluminum frame sliding windows (60-micron marine finish) with 6mm tinted float glass and integrated fly-screens.</t>
  </si>
  <si>
    <t>3.5.2</t>
  </si>
  <si>
    <t>Heavy-duty double-leaf flush wooden doors with anti-bacterial laminate panels for delivery room entrances.</t>
  </si>
  <si>
    <t>3.5.3</t>
  </si>
  <si>
    <t>Single-leaf semi-solid core flush wooden doors for mid-wife offices, scan rooms, and storage spaces.</t>
  </si>
  <si>
    <t>3.5.4</t>
  </si>
  <si>
    <t>Heavy-duty uPVC water-resistant flush doors for internal W.C. facilities and wet zones.</t>
  </si>
  <si>
    <t>3.5.5</t>
  </si>
  <si>
    <t>Grade 316 Stainless Steel architectural ironmongery kits (heavy-duty hinges, handles, lever locks, and overhead closers).</t>
  </si>
  <si>
    <t>FINISHES &amp; MEDICAL COATINGS</t>
  </si>
  <si>
    <t>3.6.1</t>
  </si>
  <si>
    <t>12mm thick internal cement-sand plastering (1:4) to blockwork and concrete faces, finished smooth.</t>
  </si>
  <si>
    <t>3.6.2</t>
  </si>
  <si>
    <t>15mm thick external render (1:3) applied to blockwork structures, finished with a wood float texture.</t>
  </si>
  <si>
    <t>3.6.3</t>
  </si>
  <si>
    <t>Glazed ceramic wall tiles (minimum 200x300mm) up to 2.1m height in all delivery rooms and W.C. suites.</t>
  </si>
  <si>
    <t>3.6.4</t>
  </si>
  <si>
    <t>3.6.5</t>
  </si>
  <si>
    <t>3.6.6</t>
  </si>
  <si>
    <t>Anti-bacterial, washable vinyl silk interior emulsion paint applied in 3 coats across clinical sections.</t>
  </si>
  <si>
    <t>SANITARY &amp; ELECTRICAL PROVISIONS</t>
  </si>
  <si>
    <t>3.7.1</t>
  </si>
  <si>
    <t>Ceramic water closet (W.C.) suites complete with dual-flush systems and marine-grade connection lines.</t>
  </si>
  <si>
    <t>3.7.2</t>
  </si>
  <si>
    <t>Ceramic wash hand basins (WHB) equipped with medical-grade long-lever elbow-operated tap units.</t>
  </si>
  <si>
    <t>3.7.3</t>
  </si>
  <si>
    <t>LED cleanroom-grade recessed lighting panels (600mm x 600mm) sealed and integrated into the grid system.</t>
  </si>
  <si>
    <t>3.7.4</t>
  </si>
  <si>
    <t>PVC-insulated copper power and lighting networks routed in concealed fire-retardant PVC conduits.</t>
  </si>
  <si>
    <t>BILL OF QUANTITIES NO. 04: EMERGENCY &amp; OPERATION SURGERY BLOCK</t>
  </si>
  <si>
    <t>4.1.1</t>
  </si>
  <si>
    <t>Excavate oversite to remove topsoil, unstable marine sand, and organic matter to an average depth of 150mm.</t>
  </si>
  <si>
    <t>4.1.2</t>
  </si>
  <si>
    <t>Excavate trenches for strip foundation footings, width 600mm, depth 1.2m below stripped level.</t>
  </si>
  <si>
    <t>4.1.3</t>
  </si>
  <si>
    <t>Provide, lay, and compact approved granular hardcore fill material in 150mm thick layers under the main floor slab.</t>
  </si>
  <si>
    <t>4.1.4</t>
  </si>
  <si>
    <t>Apply chemical anti-termite treatment over all compacted hardcore surfaces and excavated trench faces.</t>
  </si>
  <si>
    <t>4.2.1</t>
  </si>
  <si>
    <t>4.2.2</t>
  </si>
  <si>
    <t>4.2.3</t>
  </si>
  <si>
    <t>Reinforced concrete Class 25/30 using SRPC cement in ground beams (200mm x 400mm) and 150mm thick ground floor slab.</t>
  </si>
  <si>
    <t>4.2.4</t>
  </si>
  <si>
    <t>High-yield deformed steel bar reinforcement (Grade 460) allocated to sub-structural elements.</t>
  </si>
  <si>
    <t>4.2.5</t>
  </si>
  <si>
    <t>Fabric reinforcement mesh (Ref. A142) embedded in floor slabs including 200mm minimum overlaps.</t>
  </si>
  <si>
    <t>4.2.6</t>
  </si>
  <si>
    <t>Apply two coats of bitumen-based water/chloride-resistant emulsion coating to all buried structural faces.</t>
  </si>
  <si>
    <t>SUPERSTRUCTURE WALLING</t>
  </si>
  <si>
    <t>4.3.1</t>
  </si>
  <si>
    <t>Precast solid concrete block walling (200mm thick) bedded and jointed in cement-sand mortar (1:3) for external perimeter boundaries.</t>
  </si>
  <si>
    <t>4.3.2</t>
  </si>
  <si>
    <t>Precast solid concrete block walling (150mm thick) for internal clinic partitions, surgery suites, and emergency modules.</t>
  </si>
  <si>
    <t>SUPERSTRUCTURE REINFORCED CONCRETE STRUCTURES</t>
  </si>
  <si>
    <t>4.4.1</t>
  </si>
  <si>
    <t>Reinforced concrete Class 25/30 featuring chloride-inhibiting admixtures for ring beams (200mm x 300mm) and structural support columns.</t>
  </si>
  <si>
    <t>4.4.2</t>
  </si>
  <si>
    <t>Sawn timber shuttering/formwork to vertical faces of superstructure columns and beam grids.</t>
  </si>
  <si>
    <t>4.4.3</t>
  </si>
  <si>
    <t>High-yield steel reinforcement bars (Grade 460) for superstructure column and ring beam modules.</t>
  </si>
  <si>
    <t>4.5.1</t>
  </si>
  <si>
    <t>4.5.2</t>
  </si>
  <si>
    <t>4.5.3</t>
  </si>
  <si>
    <t>600x600mm False Ceiling Tiles (Moisture-resistant, anti-microbial cleanroom medical grade) suspended on an anti-corrosive aluminum T-grid system.</t>
  </si>
  <si>
    <t>4.6.1</t>
  </si>
  <si>
    <t>4.6.2</t>
  </si>
  <si>
    <t>Heavy-duty double-leaf flush wooden doors with anti-bacterial laminate panels for direct emergency and surgery theater entries.</t>
  </si>
  <si>
    <t>4.6.3</t>
  </si>
  <si>
    <t>Single-leaf semi-solid core flush wooden doors for internal recovery zones, scrub rooms, and medical storage space.</t>
  </si>
  <si>
    <t>4.6.4</t>
  </si>
  <si>
    <t>Heavy-duty uPVC water-resistant flush doors for internal sanitary W.C. suites.</t>
  </si>
  <si>
    <t>4.6.5</t>
  </si>
  <si>
    <t>Grade 316 Stainless Steel architectural ironmongery kits (heavy-duty hinges, levers, handles, locks, and overhead door closers).</t>
  </si>
  <si>
    <t>FINISHES &amp; PROTECTIVE COATINGS</t>
  </si>
  <si>
    <t>4.7.1</t>
  </si>
  <si>
    <t>12mm thick internal cement-sand plastering (1:4) to masonry walls and concrete faces, finished smooth.</t>
  </si>
  <si>
    <t>4.7.2</t>
  </si>
  <si>
    <t>15mm thick external render (1:3) applied to blockwork and concrete structures, finished with a wood float texture.</t>
  </si>
  <si>
    <t>4.7.3</t>
  </si>
  <si>
    <t>Glazed ceramic wall tiles (minimum 200x300mm) up to 2.1m height in the operation surgery room, scrub zone, and W.C. facilities.</t>
  </si>
  <si>
    <t>4.7.4</t>
  </si>
  <si>
    <t>4.7.5</t>
  </si>
  <si>
    <t>4.7.6</t>
  </si>
  <si>
    <t>SANITARY, ELECTRIC &amp; PLUMBING (MEP)</t>
  </si>
  <si>
    <t>4.8.1</t>
  </si>
  <si>
    <t>4.8.2</t>
  </si>
  <si>
    <t>Ceramic wash hand basins (WHB) and specialized surgical scrub sinks equipped with medical-grade long-lever elbow-operated tap units.</t>
  </si>
  <si>
    <t>4.8.3</t>
  </si>
  <si>
    <t>LED cleanroom-grade recessed lighting panels (600mm x 600mm) sealed and integrated into the false ceiling grid system.</t>
  </si>
  <si>
    <t>4.8.4</t>
  </si>
  <si>
    <t>BILL OF QUANTITIES NO. 05: RESTAURANT &amp; SECURITY ROOM</t>
  </si>
  <si>
    <t>5.1.1</t>
  </si>
  <si>
    <t>Excavate oversite to remove loose coastal sand, topsoil, and organic roots to an average depth of 150mm.</t>
  </si>
  <si>
    <t>5.1.2</t>
  </si>
  <si>
    <t>Excavate trenches for strip foundation footings, width 600mm, depth 1.2m below stripped ground level.</t>
  </si>
  <si>
    <t>5.1.3</t>
  </si>
  <si>
    <t>Provide, lay, and compact approved granular hardcore material in 150mm layers under ground slabs.</t>
  </si>
  <si>
    <t>5.1.4</t>
  </si>
  <si>
    <t>Apply anti-termite chemical emulsion treatment to surface of compacted hardcore and excavation trench walls.</t>
  </si>
  <si>
    <t>5.2.1</t>
  </si>
  <si>
    <t>5.2.2</t>
  </si>
  <si>
    <t>5.2.3</t>
  </si>
  <si>
    <t>Reinforced concrete Class 25/30 using SRPC in ground beams (200mm x 400mm) and 150mm thick ground floor slabs.</t>
  </si>
  <si>
    <t>5.2.4</t>
  </si>
  <si>
    <t>High-yield deformed steel bar reinforcement (Grade 460) to footings and ground structural frames.</t>
  </si>
  <si>
    <t>5.2.5</t>
  </si>
  <si>
    <t>Fabric reinforcement mesh (Ref. A142) embedded in restaurant and security floor slabs with 200mm overlaps.</t>
  </si>
  <si>
    <t>5.2.6</t>
  </si>
  <si>
    <t>Apply two coats of bitumen-based chloride/water-resistant emulsion protection to all buried concrete surfaces.</t>
  </si>
  <si>
    <t>5.3.1</t>
  </si>
  <si>
    <t>Precast solid concrete block walling (200mm thick) bedded and jointed in cement-sand mortar (1:3) for external perimeter shells.</t>
  </si>
  <si>
    <t>5.3.2</t>
  </si>
  <si>
    <t>Precast solid concrete block walling (150mm thick) in cement-sand mortar (1:3) for internal kitchen, counter, and partition zones.</t>
  </si>
  <si>
    <t>SUPERSTRUCTURE REINFORCED CONCRETE</t>
  </si>
  <si>
    <t>5.4.1</t>
  </si>
  <si>
    <t>Reinforced concrete Class 25/30 incorporating chloride-inhibiting admixtures for tie/ring beams (200mm x 300mm) and framing columns.</t>
  </si>
  <si>
    <t>5.4.2</t>
  </si>
  <si>
    <t>Sawn timber formwork/shuttering to vertical and horizontal faces of superstructure beams and columns.</t>
  </si>
  <si>
    <t>5.4.3</t>
  </si>
  <si>
    <t>High-yield deformed steel reinforcing bars (Grade 460) for superstructure column and beam skeletons.</t>
  </si>
  <si>
    <t>5.5.1</t>
  </si>
  <si>
    <t>5.5.2</t>
  </si>
  <si>
    <t>5.5.3</t>
  </si>
  <si>
    <t>600x600mm False Ceiling Tiles (Moisture-resistant, cleanable commercial grade) on an anti-corrosive aluminum T-grid system.</t>
  </si>
  <si>
    <t>5.6.1</t>
  </si>
  <si>
    <t>Powder-coated Aluminum sliding windows (60-micron marine finish) with 6mm thick tinted glass and integrated fly-screens.</t>
  </si>
  <si>
    <t>5.6.2</t>
  </si>
  <si>
    <t>Heavy-duty commercial glass entrance doors with marine aluminum frames for main restaurant access.</t>
  </si>
  <si>
    <t>5.6.3</t>
  </si>
  <si>
    <t>Single-leaf semi-solid core flush wooden doors for the security office and kitchen storage zones.</t>
  </si>
  <si>
    <t>5.6.4</t>
  </si>
  <si>
    <t>Heavy-duty uPVC water-resistant flush doors for sanitary facilities.</t>
  </si>
  <si>
    <t>5.6.5</t>
  </si>
  <si>
    <t>Grade 316 Stainless Steel architectural ironmongery kits (heavy-duty hinges, handles, locks, door stops).</t>
  </si>
  <si>
    <t>FINISHES &amp; ARCHITECTURAL COATINGS</t>
  </si>
  <si>
    <t>5.7.1</t>
  </si>
  <si>
    <t>12mm thick internal cement-sand plastering (1:4) to masonry and concrete block surfaces, finished smooth.</t>
  </si>
  <si>
    <t>5.7.2</t>
  </si>
  <si>
    <t>15mm thick external render (1:3) applied to blockwork structures, finished with a rugged wood float texture.</t>
  </si>
  <si>
    <t>5.7.3</t>
  </si>
  <si>
    <t>Glazed ceramic wall tiles (minimum 200x300mm) up to 2.1m height in the kitchen preparation area and W.C. spaces.</t>
  </si>
  <si>
    <t>5.7.4</t>
  </si>
  <si>
    <t>Non-slip homogeneous ceramic floor tiles bedded in cement mortar, finished with durable epoxy tile grout.</t>
  </si>
  <si>
    <t>5.7.5</t>
  </si>
  <si>
    <t>5.7.6</t>
  </si>
  <si>
    <t>Washable, durable vinyl silk interior emulsion paint applied in 3 coats across dining and office layouts.</t>
  </si>
  <si>
    <t>MEP &amp; SANITARY INFRASTRUCTURE</t>
  </si>
  <si>
    <t>5.8.1</t>
  </si>
  <si>
    <t>5.8.2</t>
  </si>
  <si>
    <t>5.8.3</t>
  </si>
  <si>
    <t>5.8.4</t>
  </si>
  <si>
    <r>
      <rPr>
        <b/>
        <sz val="11"/>
        <color theme="1"/>
        <rFont val="Arial"/>
        <charset val="134"/>
      </rPr>
      <t>PLOT SELECTION:</t>
    </r>
    <r>
      <rPr>
        <sz val="11"/>
        <color theme="1"/>
        <rFont val="Arial"/>
        <charset val="134"/>
      </rPr>
      <t xml:space="preserve"> PERIMETER FENCE, OUTSIDE TOILETS BLOCK (9 UNITS) &amp; INCINERATOR PLATFORM</t>
    </r>
  </si>
  <si>
    <t>BILL OF QUANTITIES NO. 06: EXTERNAL WORKS (FENCE, TOILETS &amp; INCINERATOR)</t>
  </si>
  <si>
    <t>EARTHWORKS &amp; EXCAVATION (COMBINED PLOT)</t>
  </si>
  <si>
    <t>6.1.1</t>
  </si>
  <si>
    <t>Excavate oversite to remove loose marine sand, topsoil, and organic debris average depth 150mm.</t>
  </si>
  <si>
    <t>6.1.2</t>
  </si>
  <si>
    <t>Excavate trenches for fence column footings, strip foundations, and external toilet block structures, depth 1.2m below stripped level.</t>
  </si>
  <si>
    <t>6.1.3</t>
  </si>
  <si>
    <t>Provide, lay, and compact approved granular hardcore material in 150mm layers under toilet and incinerator floor slabs.</t>
  </si>
  <si>
    <t>6.1.4</t>
  </si>
  <si>
    <t>Anti-termite chemical emulsion treatment applied over all compacted hardcore surfaces and structural excavation faces.</t>
  </si>
  <si>
    <t>SUBSTRUCTURE CONCRETE &amp; PROTECTION (SRPC)</t>
  </si>
  <si>
    <t>6.2.1</t>
  </si>
  <si>
    <t>50mm thick mass concrete blinding (Class 15/20) under structural footings and fence columns.</t>
  </si>
  <si>
    <t>6.2.2</t>
  </si>
  <si>
    <t>Reinforced concrete Class 25/30 using Sulfate-Resisting Portland Cement (SRPC) in foundation strip footings and column bases.</t>
  </si>
  <si>
    <t>6.2.3</t>
  </si>
  <si>
    <t>Reinforced concrete Class 25/30 using SRPC in ground beams (200x400mm) and 150mm thick ground floor slabs for toilets and incinerator pad.</t>
  </si>
  <si>
    <t>6.2.4</t>
  </si>
  <si>
    <t>High-yield deformed steel bar reinforcement (Grade 460) allocated to all sub-structural frames.</t>
  </si>
  <si>
    <t>6.2.5</t>
  </si>
  <si>
    <t>Fabric reinforcement mesh (Ref. A142) embedded in structural ground slabs with 200mm minimum overlaps.</t>
  </si>
  <si>
    <t>6.2.6</t>
  </si>
  <si>
    <t>PERIMETER FENCE STRUCTURE (120m Long x 2.5m High)</t>
  </si>
  <si>
    <t>6.3.1</t>
  </si>
  <si>
    <t>Precast solid concrete block walling (200mm thick) bedded and jointed in cement-sand mortar (1:3) built between concrete pillars.</t>
  </si>
  <si>
    <t>6.3.2</t>
  </si>
  <si>
    <t>Reinforced concrete Class 25/30 with chloride-inhibiting admixtures for vertical fence columns and top coping beams (200x250mm).</t>
  </si>
  <si>
    <t>6.3.3</t>
  </si>
  <si>
    <t>Sawn timber formwork to vertical and horizontal faces of structural fence columns and coping alignments.</t>
  </si>
  <si>
    <t>6.3.4</t>
  </si>
  <si>
    <t>High-yield steel reinforcement bars engineered for columns and tie-beam configurations.</t>
  </si>
  <si>
    <t>6.3.5</t>
  </si>
  <si>
    <t>Supply and install heavy-duty 3-strand razor wire mesh with hot-dip galvanized Y-shaped brackets fixed securely along the 120m wall top beam.</t>
  </si>
  <si>
    <t>EXTERNAL TOILETS (9 UNITS) SUPERSTRUCTURE &amp; WALLING</t>
  </si>
  <si>
    <t>6.4.1</t>
  </si>
  <si>
    <t>Precast solid concrete block walling (150mm thick) bedded and jointed in cement-sand mortar (1:3) for external and internal toilet cubicle walls.</t>
  </si>
  <si>
    <t>6.4.2</t>
  </si>
  <si>
    <t>Reinforced concrete Class 25/30 with chloride-inhibiting admixtures for ring beams and corner tie-columns.</t>
  </si>
  <si>
    <t>ROOFING &amp; CEILING SYSTEMS (TOILETS)</t>
  </si>
  <si>
    <t>6.5.1</t>
  </si>
  <si>
    <t>6.5.2</t>
  </si>
  <si>
    <t>GATES &amp; DOORS (FENCE &amp; TOILETS)</t>
  </si>
  <si>
    <t>6.6.1</t>
  </si>
  <si>
    <t>Heavy-duty steel structural main entrance gate, 4.0m width x 2.5m height, double-leaf swing type, complete with locking drops, heavy pillars, rollers, and anti-corrosive marine primer coating.</t>
  </si>
  <si>
    <t>6.6.2</t>
  </si>
  <si>
    <t>Heavy-duty steel personnel door, 1.0m width x 2.5m height, complete with locksets, integrated into perimeter wall framework.</t>
  </si>
  <si>
    <t>6.6.3</t>
  </si>
  <si>
    <t>Heavy-duty uPVC water-resistant flush doors with frames for 9 outside toilet units.</t>
  </si>
  <si>
    <t>6.6.4</t>
  </si>
  <si>
    <t>Marine-grade (Grade 316 Stainless Steel) ironmongery and latch sets for all external lock configurations.</t>
  </si>
  <si>
    <t>FINISHES &amp; COATINGS</t>
  </si>
  <si>
    <t>6.7.1</t>
  </si>
  <si>
    <t>12mm thick internal cement-sand plastering (1:4) to toilet block walls, finished smooth.</t>
  </si>
  <si>
    <t>6.7.2</t>
  </si>
  <si>
    <t>15mm thick external render (1:3) applied to perimeter fence surfaces and toilet external shell finished with a wood float texture.</t>
  </si>
  <si>
    <t>6.7.3</t>
  </si>
  <si>
    <t>Glazed ceramic wall tiles (minimum 200x300mm) up to 1.8m height in all 9 toilet units.</t>
  </si>
  <si>
    <t>6.7.4</t>
  </si>
  <si>
    <t>6.7.5</t>
  </si>
  <si>
    <t>Premium weather-resistant, anti-fungal exterior emulsion paint applied in 3 coats across fence and exterior facades.</t>
  </si>
  <si>
    <t>6.7.6</t>
  </si>
  <si>
    <t>Washable vinyl silk interior emulsion paint applied in 3 coats inside toilet modules.</t>
  </si>
  <si>
    <t>SMALL MEDICAL INCINERATOR UNIT</t>
  </si>
  <si>
    <t>6.8.1</t>
  </si>
  <si>
    <t>High-duty refractory firebrick internal lining walling for small medical-grade double-chamber combustion incinerator.</t>
  </si>
  <si>
    <t>6.8.2</t>
  </si>
  <si>
    <t>Precast engineering engineering red brick external casing structure including heavy iron furnace loading door, ash removal tray, and combustion vents.</t>
  </si>
  <si>
    <t>6.8.3</t>
  </si>
  <si>
    <t>Stainless steel exhaust flue stack pipe, minimum 4.5m height above ground base, with guy-wire support anchors.</t>
  </si>
  <si>
    <t>MEP &amp; SANITARY OUTSIDE PLUMBING</t>
  </si>
  <si>
    <t>6.9.1</t>
  </si>
  <si>
    <t>6.9.2</t>
  </si>
  <si>
    <t>6.9.3</t>
  </si>
  <si>
    <t>6.9.4</t>
  </si>
  <si>
    <t xml:space="preserve"> SUMMARY OF BILLS OF QUANTITIES</t>
  </si>
  <si>
    <t>GRAND SUMMARY SHEET</t>
  </si>
  <si>
    <t>Bill No.</t>
  </si>
  <si>
    <t>Page / Ref</t>
  </si>
  <si>
    <t>Bill No. 00</t>
  </si>
  <si>
    <t>General Preliminaries &amp; Structural Demolitions</t>
  </si>
  <si>
    <t>BOQ 00</t>
  </si>
  <si>
    <t>Bill No. 01</t>
  </si>
  <si>
    <t>Main Wards Block (Plot 1)</t>
  </si>
  <si>
    <t>BOQ 01</t>
  </si>
  <si>
    <t>Bill No. 02</t>
  </si>
  <si>
    <t>Outpatient Department (OPD) &amp; Diagnostics Block (Plot 2)</t>
  </si>
  <si>
    <t>BOQ 02</t>
  </si>
  <si>
    <t>Bill No. 03</t>
  </si>
  <si>
    <t>Maternity Block (Plot 3)</t>
  </si>
  <si>
    <t>BOQ 03</t>
  </si>
  <si>
    <t>Bill No. 04</t>
  </si>
  <si>
    <t>Emergency &amp; Operation Surgery Block (Plot 4)</t>
  </si>
  <si>
    <t>BOQ 04</t>
  </si>
  <si>
    <t>Bill No. 05</t>
  </si>
  <si>
    <t>Restaurant &amp; Security Room (Plot 5)</t>
  </si>
  <si>
    <t>BOQ 05</t>
  </si>
  <si>
    <t>Bill No. 06</t>
  </si>
  <si>
    <t>External Works (120m Perimeter Fence, 9 Outside Toilets &amp; Incinerator)</t>
  </si>
  <si>
    <t>BOQ 06</t>
  </si>
  <si>
    <t>SUB-TOTAL (A)</t>
  </si>
  <si>
    <t>TOTAL FOR MEASURED WORKS (Carried Forward)</t>
  </si>
  <si>
    <t>ADDITIONS</t>
  </si>
  <si>
    <t>Add: 5.0%</t>
  </si>
  <si>
    <t>Contingency Sum for Unforeseen Variations (Subject to Project Engineer Approval)</t>
  </si>
  <si>
    <t>Fixed</t>
  </si>
  <si>
    <t>GRAND TOTAL</t>
  </si>
  <si>
    <t>TOTAL BID PRICE CARRIED TO FORM OF TENDER (VAT Inclusive)</t>
  </si>
  <si>
    <r>
      <rPr>
        <b/>
        <sz val="11"/>
        <color theme="1"/>
        <rFont val="Arial"/>
        <charset val="134"/>
      </rPr>
      <t>Amount in Words:</t>
    </r>
    <r>
      <rPr>
        <sz val="11"/>
        <color theme="1"/>
        <rFont val="Arial"/>
        <charset val="134"/>
      </rPr>
      <t xml:space="preserve"> __________________________________________USD Dollars</t>
    </r>
  </si>
  <si>
    <r>
      <rPr>
        <b/>
        <sz val="11"/>
        <color theme="1"/>
        <rFont val="Arial"/>
        <charset val="134"/>
      </rPr>
      <t>Tenderer's Name:</t>
    </r>
    <r>
      <rPr>
        <sz val="11"/>
        <color theme="1"/>
        <rFont val="Arial"/>
        <charset val="134"/>
      </rPr>
      <t xml:space="preserve"> ____________________________________________</t>
    </r>
  </si>
  <si>
    <r>
      <rPr>
        <b/>
        <sz val="11"/>
        <color theme="1"/>
        <rFont val="Arial"/>
        <charset val="134"/>
      </rPr>
      <t>Signature &amp; Official Stamp:</t>
    </r>
    <r>
      <rPr>
        <sz val="11"/>
        <color theme="1"/>
        <rFont val="Arial"/>
        <charset val="134"/>
      </rPr>
      <t xml:space="preserve"> _____________________________________</t>
    </r>
  </si>
  <si>
    <r>
      <rPr>
        <b/>
        <sz val="11"/>
        <color theme="1"/>
        <rFont val="Arial"/>
        <charset val="134"/>
      </rPr>
      <t>Date:</t>
    </r>
    <r>
      <rPr>
        <sz val="11"/>
        <color theme="1"/>
        <rFont val="Arial"/>
        <charset val="134"/>
      </rPr>
      <t xml:space="preserve"> 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</si>
</sst>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176" formatCode="_(&quot;$&quot;* #,##0.00_);_(&quot;$&quot;* \(#,##0.00\);_(&quot;$&quot;* &quot;-&quot;??_);_(@_)"/>
  </numFmts>
  <fonts count="38">
    <font>
      <sz val="11"/>
      <color theme="1"/>
      <name val="Calibri"/>
      <charset val="134"/>
      <scheme val="minor"/>
    </font>
    <font>
      <b/>
      <sz val="13.5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Calibri"/>
      <charset val="134"/>
      <scheme val="minor"/>
    </font>
    <font>
      <b/>
      <sz val="13.5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3.95"/>
      <color rgb="FF1F1F1F"/>
      <name val="Arial"/>
      <charset val="134"/>
    </font>
    <font>
      <b/>
      <sz val="11"/>
      <color rgb="FF1F1F1F"/>
      <name val="Arial"/>
      <charset val="134"/>
    </font>
    <font>
      <sz val="11"/>
      <color rgb="FF1F1F1F"/>
      <name val="Arial"/>
      <charset val="134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5" borderId="21" applyNumberFormat="0" applyAlignment="0" applyProtection="0">
      <alignment vertical="center"/>
    </xf>
    <xf numFmtId="0" fontId="30" fillId="6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2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 indent="1"/>
    </xf>
    <xf numFmtId="176" fontId="4" fillId="0" borderId="6" xfId="2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top" wrapText="1"/>
    </xf>
    <xf numFmtId="176" fontId="2" fillId="0" borderId="6" xfId="2" applyFont="1" applyBorder="1" applyAlignment="1">
      <alignment horizontal="left" vertical="center" wrapText="1" indent="1"/>
    </xf>
    <xf numFmtId="176" fontId="0" fillId="0" borderId="0" xfId="0" applyNumberFormat="1"/>
    <xf numFmtId="176" fontId="0" fillId="0" borderId="0" xfId="2" applyFont="1"/>
    <xf numFmtId="0" fontId="3" fillId="2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 indent="1"/>
    </xf>
    <xf numFmtId="4" fontId="0" fillId="0" borderId="0" xfId="0" applyNumberFormat="1"/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 indent="1"/>
    </xf>
    <xf numFmtId="176" fontId="2" fillId="0" borderId="9" xfId="0" applyNumberFormat="1" applyFont="1" applyBorder="1" applyAlignment="1">
      <alignment horizontal="left" vertical="center" wrapText="1" indent="1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0" fillId="0" borderId="14" xfId="0" applyBorder="1"/>
    <xf numFmtId="0" fontId="2" fillId="0" borderId="13" xfId="0" applyFont="1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left" vertical="top"/>
    </xf>
    <xf numFmtId="176" fontId="0" fillId="0" borderId="0" xfId="2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76" fontId="2" fillId="0" borderId="5" xfId="2" applyFont="1" applyBorder="1" applyAlignment="1">
      <alignment horizontal="left" vertical="top" wrapText="1"/>
    </xf>
    <xf numFmtId="176" fontId="3" fillId="0" borderId="5" xfId="2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" fontId="3" fillId="0" borderId="5" xfId="0" applyNumberFormat="1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76" fontId="3" fillId="0" borderId="5" xfId="2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5" xfId="0" applyFont="1" applyFill="1" applyBorder="1" applyAlignment="1">
      <alignment horizontal="left" vertical="top" wrapText="1"/>
    </xf>
    <xf numFmtId="4" fontId="3" fillId="0" borderId="5" xfId="0" applyNumberFormat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/>
    </xf>
    <xf numFmtId="0" fontId="6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5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4" fontId="3" fillId="0" borderId="5" xfId="0" applyNumberFormat="1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center" wrapText="1"/>
    </xf>
    <xf numFmtId="176" fontId="0" fillId="0" borderId="5" xfId="2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176" fontId="8" fillId="0" borderId="5" xfId="2" applyFont="1" applyFill="1" applyBorder="1" applyAlignment="1">
      <alignment horizontal="left" vertical="top" wrapText="1"/>
    </xf>
    <xf numFmtId="176" fontId="0" fillId="0" borderId="5" xfId="2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4" fontId="9" fillId="0" borderId="5" xfId="0" applyNumberFormat="1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/>
    </xf>
    <xf numFmtId="176" fontId="10" fillId="0" borderId="5" xfId="2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 indent="1"/>
    </xf>
    <xf numFmtId="0" fontId="9" fillId="0" borderId="5" xfId="0" applyFont="1" applyFill="1" applyBorder="1" applyAlignment="1">
      <alignment horizontal="left" vertical="top" wrapText="1" indent="1"/>
    </xf>
    <xf numFmtId="4" fontId="9" fillId="0" borderId="5" xfId="0" applyNumberFormat="1" applyFont="1" applyFill="1" applyBorder="1" applyAlignment="1">
      <alignment horizontal="left" vertical="top" wrapText="1" indent="1"/>
    </xf>
    <xf numFmtId="2" fontId="0" fillId="0" borderId="0" xfId="0" applyNumberFormat="1"/>
    <xf numFmtId="176" fontId="0" fillId="0" borderId="5" xfId="2" applyFont="1" applyFill="1" applyBorder="1" applyAlignment="1">
      <alignment horizontal="left" vertical="top" wrapText="1" inden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horizontal="left"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5" xfId="0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176" fontId="0" fillId="0" borderId="5" xfId="0" applyNumberForma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176" fontId="12" fillId="0" borderId="5" xfId="0" applyNumberFormat="1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2" fontId="13" fillId="0" borderId="5" xfId="0" applyNumberFormat="1" applyFont="1" applyFill="1" applyBorder="1" applyAlignment="1">
      <alignment horizontal="left" vertical="top" wrapText="1"/>
    </xf>
    <xf numFmtId="176" fontId="0" fillId="0" borderId="5" xfId="0" applyNumberFormat="1" applyFill="1" applyBorder="1" applyAlignment="1">
      <alignment horizontal="left" vertical="top"/>
    </xf>
    <xf numFmtId="4" fontId="13" fillId="0" borderId="5" xfId="0" applyNumberFormat="1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0" fillId="0" borderId="5" xfId="0" applyFill="1" applyBorder="1" applyAlignment="1">
      <alignment horizontal="left" vertical="center" wrapText="1" indent="1"/>
    </xf>
    <xf numFmtId="4" fontId="13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176" fontId="0" fillId="0" borderId="5" xfId="2" applyNumberFormat="1" applyFont="1" applyBorder="1" applyAlignment="1">
      <alignment horizontal="left" vertical="top"/>
    </xf>
    <xf numFmtId="0" fontId="9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176" fontId="16" fillId="0" borderId="0" xfId="2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176" fontId="9" fillId="0" borderId="0" xfId="2" applyFont="1"/>
    <xf numFmtId="0" fontId="17" fillId="0" borderId="5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/>
    </xf>
    <xf numFmtId="176" fontId="17" fillId="0" borderId="5" xfId="2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176" fontId="16" fillId="0" borderId="5" xfId="2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left" vertical="center" wrapText="1" indent="1"/>
    </xf>
    <xf numFmtId="0" fontId="16" fillId="0" borderId="5" xfId="0" applyFont="1" applyBorder="1"/>
    <xf numFmtId="0" fontId="16" fillId="0" borderId="5" xfId="0" applyFont="1" applyBorder="1" applyAlignment="1">
      <alignment wrapText="1"/>
    </xf>
    <xf numFmtId="176" fontId="16" fillId="0" borderId="5" xfId="2" applyFont="1" applyBorder="1"/>
    <xf numFmtId="0" fontId="8" fillId="0" borderId="5" xfId="0" applyFont="1" applyBorder="1"/>
    <xf numFmtId="176" fontId="8" fillId="0" borderId="5" xfId="2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6"/>
  <sheetViews>
    <sheetView zoomScale="153" zoomScaleNormal="153" topLeftCell="A4" workbookViewId="0">
      <selection activeCell="G10" sqref="G10"/>
    </sheetView>
  </sheetViews>
  <sheetFormatPr defaultColWidth="8.90625" defaultRowHeight="16.8" outlineLevelCol="5"/>
  <cols>
    <col min="1" max="1" width="9" style="104" customWidth="1"/>
    <col min="2" max="2" width="37.1796875" style="105" customWidth="1"/>
    <col min="3" max="3" width="8.90625" style="104"/>
    <col min="4" max="4" width="9.453125" style="104" customWidth="1"/>
    <col min="5" max="5" width="7.1796875" style="104" customWidth="1"/>
    <col min="6" max="6" width="12.90625" style="106" customWidth="1"/>
    <col min="7" max="16384" width="8.90625" style="104"/>
  </cols>
  <sheetData>
    <row r="2" ht="17" spans="1:6">
      <c r="A2" s="107" t="s">
        <v>0</v>
      </c>
    </row>
    <row r="4" ht="25.25" customHeight="1" spans="1:6">
      <c r="A4" s="108" t="s">
        <v>1</v>
      </c>
      <c r="B4" s="108"/>
      <c r="C4" s="108"/>
      <c r="D4" s="108"/>
      <c r="E4" s="108"/>
      <c r="F4" s="108"/>
    </row>
    <row r="6" s="103" customFormat="1" ht="17.6" spans="1:6">
      <c r="A6" s="109" t="s">
        <v>2</v>
      </c>
      <c r="B6" s="110"/>
      <c r="F6" s="111"/>
    </row>
    <row r="8" ht="34" spans="1:6">
      <c r="A8" s="112" t="s">
        <v>3</v>
      </c>
      <c r="B8" s="113" t="s">
        <v>4</v>
      </c>
      <c r="C8" s="112" t="s">
        <v>5</v>
      </c>
      <c r="D8" s="112" t="s">
        <v>6</v>
      </c>
      <c r="E8" s="112" t="s">
        <v>7</v>
      </c>
      <c r="F8" s="114" t="s">
        <v>8</v>
      </c>
    </row>
    <row r="9" ht="34" spans="1:6">
      <c r="A9" s="112">
        <v>0.1</v>
      </c>
      <c r="B9" s="113" t="s">
        <v>9</v>
      </c>
      <c r="C9" s="115"/>
      <c r="D9" s="115"/>
      <c r="E9" s="115"/>
      <c r="F9" s="116"/>
    </row>
    <row r="10" ht="51" spans="1:6">
      <c r="A10" s="115" t="s">
        <v>10</v>
      </c>
      <c r="B10" s="117" t="s">
        <v>11</v>
      </c>
      <c r="C10" s="115" t="s">
        <v>12</v>
      </c>
      <c r="D10" s="115">
        <v>1</v>
      </c>
      <c r="E10" s="115"/>
      <c r="F10" s="116">
        <f>D10*E10</f>
        <v>0</v>
      </c>
    </row>
    <row r="11" ht="84" spans="1:6">
      <c r="A11" s="115" t="s">
        <v>13</v>
      </c>
      <c r="B11" s="117" t="s">
        <v>14</v>
      </c>
      <c r="C11" s="115" t="s">
        <v>15</v>
      </c>
      <c r="D11" s="115">
        <v>6</v>
      </c>
      <c r="E11" s="115"/>
      <c r="F11" s="116">
        <f t="shared" ref="F11:F24" si="0">D11*E11</f>
        <v>0</v>
      </c>
    </row>
    <row r="12" ht="51" spans="1:6">
      <c r="A12" s="115" t="s">
        <v>16</v>
      </c>
      <c r="B12" s="117" t="s">
        <v>17</v>
      </c>
      <c r="C12" s="115" t="s">
        <v>18</v>
      </c>
      <c r="D12" s="115">
        <v>1</v>
      </c>
      <c r="E12" s="115"/>
      <c r="F12" s="116">
        <f t="shared" si="0"/>
        <v>0</v>
      </c>
    </row>
    <row r="13" ht="51" spans="1:6">
      <c r="A13" s="115" t="s">
        <v>19</v>
      </c>
      <c r="B13" s="117" t="s">
        <v>20</v>
      </c>
      <c r="C13" s="115" t="s">
        <v>12</v>
      </c>
      <c r="D13" s="115">
        <v>1</v>
      </c>
      <c r="E13" s="115"/>
      <c r="F13" s="116">
        <f t="shared" si="0"/>
        <v>0</v>
      </c>
    </row>
    <row r="14" ht="34" spans="1:6">
      <c r="A14" s="112">
        <v>0.2</v>
      </c>
      <c r="B14" s="113" t="s">
        <v>21</v>
      </c>
      <c r="C14" s="115"/>
      <c r="D14" s="115"/>
      <c r="E14" s="115"/>
      <c r="F14" s="116">
        <f t="shared" si="0"/>
        <v>0</v>
      </c>
    </row>
    <row r="15" ht="68" spans="1:6">
      <c r="A15" s="115" t="s">
        <v>22</v>
      </c>
      <c r="B15" s="117" t="s">
        <v>23</v>
      </c>
      <c r="C15" s="115" t="s">
        <v>15</v>
      </c>
      <c r="D15" s="115">
        <v>6</v>
      </c>
      <c r="E15" s="115"/>
      <c r="F15" s="116">
        <f t="shared" si="0"/>
        <v>0</v>
      </c>
    </row>
    <row r="16" ht="68" spans="1:6">
      <c r="A16" s="115" t="s">
        <v>24</v>
      </c>
      <c r="B16" s="117" t="s">
        <v>25</v>
      </c>
      <c r="C16" s="115" t="s">
        <v>18</v>
      </c>
      <c r="D16" s="115">
        <v>1</v>
      </c>
      <c r="E16" s="115"/>
      <c r="F16" s="116">
        <f t="shared" si="0"/>
        <v>0</v>
      </c>
    </row>
    <row r="17" ht="17" spans="1:6">
      <c r="A17" s="112">
        <v>0.3</v>
      </c>
      <c r="B17" s="113" t="s">
        <v>26</v>
      </c>
      <c r="C17" s="115"/>
      <c r="D17" s="115"/>
      <c r="E17" s="115"/>
      <c r="F17" s="116">
        <f t="shared" si="0"/>
        <v>0</v>
      </c>
    </row>
    <row r="18" ht="51" spans="1:6">
      <c r="A18" s="115" t="s">
        <v>27</v>
      </c>
      <c r="B18" s="117" t="s">
        <v>28</v>
      </c>
      <c r="C18" s="115" t="s">
        <v>29</v>
      </c>
      <c r="D18" s="118">
        <v>3000</v>
      </c>
      <c r="E18" s="115"/>
      <c r="F18" s="116">
        <f t="shared" si="0"/>
        <v>0</v>
      </c>
    </row>
    <row r="19" ht="68" spans="1:6">
      <c r="A19" s="115" t="s">
        <v>30</v>
      </c>
      <c r="B19" s="117" t="s">
        <v>31</v>
      </c>
      <c r="C19" s="115" t="s">
        <v>18</v>
      </c>
      <c r="D19" s="115">
        <v>1</v>
      </c>
      <c r="E19" s="115"/>
      <c r="F19" s="116">
        <f t="shared" si="0"/>
        <v>0</v>
      </c>
    </row>
    <row r="20" ht="34" spans="1:6">
      <c r="A20" s="112">
        <v>0.4</v>
      </c>
      <c r="B20" s="113" t="s">
        <v>32</v>
      </c>
      <c r="C20" s="115"/>
      <c r="D20" s="115"/>
      <c r="E20" s="115"/>
      <c r="F20" s="116">
        <f t="shared" si="0"/>
        <v>0</v>
      </c>
    </row>
    <row r="21" ht="68" spans="1:6">
      <c r="A21" s="115" t="s">
        <v>33</v>
      </c>
      <c r="B21" s="117" t="s">
        <v>34</v>
      </c>
      <c r="C21" s="115" t="s">
        <v>29</v>
      </c>
      <c r="D21" s="115">
        <v>315</v>
      </c>
      <c r="E21" s="115"/>
      <c r="F21" s="116">
        <f t="shared" si="0"/>
        <v>0</v>
      </c>
    </row>
    <row r="22" ht="68" spans="1:6">
      <c r="A22" s="115" t="s">
        <v>35</v>
      </c>
      <c r="B22" s="117" t="s">
        <v>36</v>
      </c>
      <c r="C22" s="115" t="s">
        <v>29</v>
      </c>
      <c r="D22" s="115">
        <v>160</v>
      </c>
      <c r="E22" s="115"/>
      <c r="F22" s="116">
        <f t="shared" si="0"/>
        <v>0</v>
      </c>
    </row>
    <row r="23" ht="68" spans="1:6">
      <c r="A23" s="115" t="s">
        <v>37</v>
      </c>
      <c r="B23" s="117" t="s">
        <v>38</v>
      </c>
      <c r="C23" s="115" t="s">
        <v>39</v>
      </c>
      <c r="D23" s="115">
        <v>100</v>
      </c>
      <c r="E23" s="115"/>
      <c r="F23" s="116">
        <f t="shared" si="0"/>
        <v>0</v>
      </c>
    </row>
    <row r="24" ht="68" spans="1:6">
      <c r="A24" s="115" t="s">
        <v>40</v>
      </c>
      <c r="B24" s="117" t="s">
        <v>41</v>
      </c>
      <c r="C24" s="115" t="s">
        <v>42</v>
      </c>
      <c r="D24" s="115">
        <v>640</v>
      </c>
      <c r="E24" s="115"/>
      <c r="F24" s="116">
        <f t="shared" si="0"/>
        <v>0</v>
      </c>
    </row>
    <row r="25" spans="1:6">
      <c r="A25" s="119"/>
      <c r="B25" s="120"/>
      <c r="C25" s="119"/>
      <c r="D25" s="119"/>
      <c r="E25" s="119"/>
      <c r="F25" s="121"/>
    </row>
    <row r="26" ht="17.6" spans="1:6">
      <c r="A26" s="119"/>
      <c r="B26" s="120"/>
      <c r="C26" s="119"/>
      <c r="D26" s="119"/>
      <c r="E26" s="122" t="s">
        <v>43</v>
      </c>
      <c r="F26" s="123">
        <f>SUM(F10:F24)</f>
        <v>0</v>
      </c>
    </row>
  </sheetData>
  <mergeCells count="1">
    <mergeCell ref="A4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1"/>
  <sheetViews>
    <sheetView zoomScale="155" zoomScaleNormal="155" topLeftCell="A3" workbookViewId="0">
      <selection activeCell="E8" sqref="E8:E50"/>
    </sheetView>
  </sheetViews>
  <sheetFormatPr defaultColWidth="9" defaultRowHeight="16.8" outlineLevelCol="5"/>
  <cols>
    <col min="1" max="1" width="7.546875" style="79" customWidth="1"/>
    <col min="2" max="2" width="38.90625" style="80" customWidth="1"/>
    <col min="3" max="3" width="7.1796875" style="79" customWidth="1"/>
    <col min="4" max="4" width="10.8203125" style="38" customWidth="1"/>
    <col min="5" max="5" width="7.453125" style="38" customWidth="1"/>
    <col min="6" max="6" width="14.09375" style="81" customWidth="1"/>
  </cols>
  <sheetData>
    <row r="2" ht="17" spans="1:6">
      <c r="A2" s="82" t="s">
        <v>44</v>
      </c>
    </row>
    <row r="4" ht="17.6" spans="1:6">
      <c r="A4" s="83" t="s">
        <v>45</v>
      </c>
      <c r="B4" s="84"/>
    </row>
    <row r="5" ht="20.4" spans="1:6">
      <c r="A5" s="85" t="s">
        <v>46</v>
      </c>
      <c r="B5" s="86"/>
      <c r="C5" s="87"/>
      <c r="D5" s="49"/>
      <c r="E5" s="49"/>
      <c r="F5" s="88"/>
    </row>
    <row r="6" ht="34" spans="1:6">
      <c r="A6" s="89" t="s">
        <v>3</v>
      </c>
      <c r="B6" s="89" t="s">
        <v>4</v>
      </c>
      <c r="C6" s="89" t="s">
        <v>5</v>
      </c>
      <c r="D6" s="89" t="s">
        <v>6</v>
      </c>
      <c r="E6" s="90" t="s">
        <v>47</v>
      </c>
      <c r="F6" s="91" t="s">
        <v>48</v>
      </c>
    </row>
    <row r="7" ht="17" spans="1:6">
      <c r="A7" s="89">
        <v>1.1</v>
      </c>
      <c r="B7" s="89" t="s">
        <v>49</v>
      </c>
      <c r="C7" s="86"/>
      <c r="D7" s="45"/>
      <c r="E7" s="49"/>
      <c r="F7" s="88"/>
    </row>
    <row r="8" ht="34" spans="1:6">
      <c r="A8" s="92" t="s">
        <v>50</v>
      </c>
      <c r="B8" s="92" t="s">
        <v>51</v>
      </c>
      <c r="C8" s="92" t="s">
        <v>52</v>
      </c>
      <c r="D8" s="92">
        <f>519.5*0.15</f>
        <v>77.925</v>
      </c>
      <c r="E8" s="45"/>
      <c r="F8" s="88">
        <f>D8*E8</f>
        <v>0</v>
      </c>
    </row>
    <row r="9" ht="34" spans="1:6">
      <c r="A9" s="92" t="s">
        <v>53</v>
      </c>
      <c r="B9" s="92" t="s">
        <v>54</v>
      </c>
      <c r="C9" s="92" t="s">
        <v>52</v>
      </c>
      <c r="D9" s="92">
        <f>262.75*0.6*1.2</f>
        <v>189.18</v>
      </c>
      <c r="E9" s="45"/>
      <c r="F9" s="88">
        <f t="shared" ref="F9:F50" si="0">D9*E9</f>
        <v>0</v>
      </c>
    </row>
    <row r="10" ht="51" spans="1:6">
      <c r="A10" s="92" t="s">
        <v>55</v>
      </c>
      <c r="B10" s="92" t="s">
        <v>56</v>
      </c>
      <c r="C10" s="92" t="s">
        <v>52</v>
      </c>
      <c r="D10" s="92">
        <f>519.5*0.15</f>
        <v>77.925</v>
      </c>
      <c r="E10" s="45"/>
      <c r="F10" s="88">
        <f t="shared" si="0"/>
        <v>0</v>
      </c>
    </row>
    <row r="11" ht="34" spans="1:6">
      <c r="A11" s="92" t="s">
        <v>57</v>
      </c>
      <c r="B11" s="92" t="s">
        <v>58</v>
      </c>
      <c r="C11" s="92" t="s">
        <v>29</v>
      </c>
      <c r="D11" s="92">
        <v>519.5</v>
      </c>
      <c r="E11" s="45"/>
      <c r="F11" s="88">
        <f t="shared" si="0"/>
        <v>0</v>
      </c>
    </row>
    <row r="12" ht="17" spans="1:6">
      <c r="A12" s="89">
        <v>1.2</v>
      </c>
      <c r="B12" s="89" t="s">
        <v>59</v>
      </c>
      <c r="C12" s="86"/>
      <c r="D12" s="45"/>
      <c r="E12" s="49"/>
      <c r="F12" s="88">
        <f t="shared" si="0"/>
        <v>0</v>
      </c>
    </row>
    <row r="13" ht="34" spans="1:6">
      <c r="A13" s="92" t="s">
        <v>60</v>
      </c>
      <c r="B13" s="92" t="s">
        <v>61</v>
      </c>
      <c r="C13" s="92" t="s">
        <v>52</v>
      </c>
      <c r="D13" s="92">
        <f>262.75*0.4*0.05</f>
        <v>5.255</v>
      </c>
      <c r="E13" s="45"/>
      <c r="F13" s="88">
        <f t="shared" si="0"/>
        <v>0</v>
      </c>
    </row>
    <row r="14" ht="34" spans="1:6">
      <c r="A14" s="92" t="s">
        <v>62</v>
      </c>
      <c r="B14" s="92" t="s">
        <v>63</v>
      </c>
      <c r="C14" s="92" t="s">
        <v>52</v>
      </c>
      <c r="D14" s="92">
        <f>262.75*0.6*0.3</f>
        <v>47.295</v>
      </c>
      <c r="E14" s="45"/>
      <c r="F14" s="88">
        <f t="shared" si="0"/>
        <v>0</v>
      </c>
    </row>
    <row r="15" ht="51" spans="1:6">
      <c r="A15" s="92" t="s">
        <v>64</v>
      </c>
      <c r="B15" s="92" t="s">
        <v>65</v>
      </c>
      <c r="C15" s="92" t="s">
        <v>52</v>
      </c>
      <c r="D15" s="93">
        <f>((262.75*0.4*0.2*2)+(519.5*0.15))</f>
        <v>119.965</v>
      </c>
      <c r="E15" s="48"/>
      <c r="F15" s="94">
        <f t="shared" si="0"/>
        <v>0</v>
      </c>
    </row>
    <row r="16" ht="17" spans="1:6">
      <c r="A16" s="89">
        <v>1.3</v>
      </c>
      <c r="B16" s="89" t="s">
        <v>66</v>
      </c>
      <c r="C16" s="86"/>
      <c r="D16" s="48"/>
      <c r="E16" s="48"/>
      <c r="F16" s="94">
        <f t="shared" si="0"/>
        <v>0</v>
      </c>
    </row>
    <row r="17" ht="34" spans="1:6">
      <c r="A17" s="92" t="s">
        <v>67</v>
      </c>
      <c r="B17" s="92" t="s">
        <v>68</v>
      </c>
      <c r="C17" s="92" t="s">
        <v>69</v>
      </c>
      <c r="D17" s="95">
        <v>6176</v>
      </c>
      <c r="E17" s="48"/>
      <c r="F17" s="94">
        <f t="shared" si="0"/>
        <v>0</v>
      </c>
    </row>
    <row r="18" ht="34" spans="1:6">
      <c r="A18" s="92" t="s">
        <v>70</v>
      </c>
      <c r="B18" s="92" t="s">
        <v>71</v>
      </c>
      <c r="C18" s="92" t="s">
        <v>29</v>
      </c>
      <c r="D18" s="96">
        <v>432.36</v>
      </c>
      <c r="E18" s="48"/>
      <c r="F18" s="94">
        <f t="shared" si="0"/>
        <v>0</v>
      </c>
    </row>
    <row r="19" ht="34" spans="1:6">
      <c r="A19" s="92" t="s">
        <v>72</v>
      </c>
      <c r="B19" s="92" t="s">
        <v>73</v>
      </c>
      <c r="C19" s="92" t="s">
        <v>29</v>
      </c>
      <c r="D19" s="96">
        <v>154.2</v>
      </c>
      <c r="E19" s="54"/>
      <c r="F19" s="94">
        <f t="shared" si="0"/>
        <v>0</v>
      </c>
    </row>
    <row r="20" ht="17" spans="1:6">
      <c r="A20" s="89">
        <v>1.4</v>
      </c>
      <c r="B20" s="89" t="s">
        <v>74</v>
      </c>
      <c r="C20" s="86"/>
      <c r="D20" s="48"/>
      <c r="E20" s="54"/>
      <c r="F20" s="94">
        <f t="shared" si="0"/>
        <v>0</v>
      </c>
    </row>
    <row r="21" ht="34" spans="1:6">
      <c r="A21" s="92" t="s">
        <v>75</v>
      </c>
      <c r="B21" s="92" t="s">
        <v>76</v>
      </c>
      <c r="C21" s="92" t="s">
        <v>29</v>
      </c>
      <c r="D21" s="96">
        <f>262.75*0.4</f>
        <v>105.1</v>
      </c>
      <c r="E21" s="48"/>
      <c r="F21" s="94">
        <f t="shared" si="0"/>
        <v>0</v>
      </c>
    </row>
    <row r="22" ht="51" spans="1:6">
      <c r="A22" s="92" t="s">
        <v>77</v>
      </c>
      <c r="B22" s="92" t="s">
        <v>78</v>
      </c>
      <c r="C22" s="92" t="s">
        <v>29</v>
      </c>
      <c r="D22" s="96">
        <f>D21*2</f>
        <v>210.2</v>
      </c>
      <c r="E22" s="48"/>
      <c r="F22" s="94">
        <f t="shared" si="0"/>
        <v>0</v>
      </c>
    </row>
    <row r="23" ht="21" spans="1:6">
      <c r="A23" s="89">
        <v>1.5</v>
      </c>
      <c r="B23" s="97" t="s">
        <v>79</v>
      </c>
      <c r="C23" s="86"/>
      <c r="D23" s="48"/>
      <c r="E23" s="54"/>
      <c r="F23" s="94">
        <f t="shared" si="0"/>
        <v>0</v>
      </c>
    </row>
    <row r="24" ht="51" spans="1:6">
      <c r="A24" s="92" t="s">
        <v>80</v>
      </c>
      <c r="B24" s="92" t="s">
        <v>81</v>
      </c>
      <c r="C24" s="92" t="s">
        <v>52</v>
      </c>
      <c r="D24" s="96">
        <f>262.75*0.2*0.2</f>
        <v>10.51</v>
      </c>
      <c r="E24" s="48"/>
      <c r="F24" s="94">
        <f t="shared" si="0"/>
        <v>0</v>
      </c>
    </row>
    <row r="25" ht="34" spans="1:6">
      <c r="A25" s="92" t="s">
        <v>82</v>
      </c>
      <c r="B25" s="92" t="s">
        <v>83</v>
      </c>
      <c r="C25" s="92" t="s">
        <v>29</v>
      </c>
      <c r="D25" s="96">
        <f>262.75*0.2*3</f>
        <v>157.65</v>
      </c>
      <c r="E25" s="48"/>
      <c r="F25" s="94">
        <f t="shared" si="0"/>
        <v>0</v>
      </c>
    </row>
    <row r="26" ht="34" spans="1:6">
      <c r="A26" s="92" t="s">
        <v>84</v>
      </c>
      <c r="B26" s="92" t="s">
        <v>85</v>
      </c>
      <c r="C26" s="92" t="s">
        <v>69</v>
      </c>
      <c r="D26" s="95">
        <v>2354</v>
      </c>
      <c r="E26" s="48"/>
      <c r="F26" s="94">
        <f t="shared" si="0"/>
        <v>0</v>
      </c>
    </row>
    <row r="27" ht="51" spans="1:6">
      <c r="A27" s="92" t="s">
        <v>86</v>
      </c>
      <c r="B27" s="92" t="s">
        <v>87</v>
      </c>
      <c r="C27" s="92" t="s">
        <v>29</v>
      </c>
      <c r="D27" s="92">
        <f>160*3.5</f>
        <v>560</v>
      </c>
      <c r="E27" s="48"/>
      <c r="F27" s="88">
        <f t="shared" si="0"/>
        <v>0</v>
      </c>
    </row>
    <row r="28" ht="51" spans="1:6">
      <c r="A28" s="92" t="s">
        <v>88</v>
      </c>
      <c r="B28" s="92" t="s">
        <v>89</v>
      </c>
      <c r="C28" s="92" t="s">
        <v>29</v>
      </c>
      <c r="D28" s="92">
        <f>102.75*3.5</f>
        <v>359.625</v>
      </c>
      <c r="E28" s="48"/>
      <c r="F28" s="88">
        <f t="shared" si="0"/>
        <v>0</v>
      </c>
    </row>
    <row r="29" ht="17" spans="1:6">
      <c r="A29" s="89">
        <v>1.6</v>
      </c>
      <c r="B29" s="89" t="s">
        <v>90</v>
      </c>
      <c r="C29" s="89"/>
      <c r="D29" s="89"/>
      <c r="E29" s="49"/>
      <c r="F29" s="88"/>
    </row>
    <row r="30" ht="31.25" customHeight="1" spans="1:6">
      <c r="A30" s="92" t="s">
        <v>91</v>
      </c>
      <c r="B30" s="92" t="s">
        <v>92</v>
      </c>
      <c r="C30" s="92" t="s">
        <v>29</v>
      </c>
      <c r="D30" s="92">
        <v>675.35</v>
      </c>
      <c r="E30" s="98"/>
      <c r="F30" s="88">
        <f t="shared" si="0"/>
        <v>0</v>
      </c>
    </row>
    <row r="31" ht="101" spans="1:6">
      <c r="A31" s="92" t="s">
        <v>93</v>
      </c>
      <c r="B31" s="47" t="s">
        <v>94</v>
      </c>
      <c r="C31" s="92" t="s">
        <v>29</v>
      </c>
      <c r="D31" s="92">
        <f>519.5*1.3</f>
        <v>675.35</v>
      </c>
      <c r="E31" s="98"/>
      <c r="F31" s="88">
        <f t="shared" si="0"/>
        <v>0</v>
      </c>
    </row>
    <row r="32" ht="34" spans="1:6">
      <c r="A32" s="92" t="s">
        <v>95</v>
      </c>
      <c r="B32" s="92" t="s">
        <v>96</v>
      </c>
      <c r="C32" s="92" t="s">
        <v>39</v>
      </c>
      <c r="D32" s="92">
        <f>(34*4)+(12*2)</f>
        <v>160</v>
      </c>
      <c r="E32" s="49"/>
      <c r="F32" s="88">
        <f t="shared" si="0"/>
        <v>0</v>
      </c>
    </row>
    <row r="33" ht="51.65" customHeight="1" spans="1:6">
      <c r="A33" s="92" t="s">
        <v>97</v>
      </c>
      <c r="B33" s="89" t="s">
        <v>98</v>
      </c>
      <c r="C33" s="92" t="s">
        <v>29</v>
      </c>
      <c r="D33" s="92">
        <f>519.5</f>
        <v>519.5</v>
      </c>
      <c r="E33" s="45"/>
      <c r="F33" s="88">
        <f t="shared" si="0"/>
        <v>0</v>
      </c>
    </row>
    <row r="34" ht="17" spans="1:6">
      <c r="A34" s="89">
        <v>1.7</v>
      </c>
      <c r="B34" s="89" t="s">
        <v>99</v>
      </c>
      <c r="C34" s="89"/>
      <c r="D34" s="89"/>
      <c r="E34" s="49"/>
      <c r="F34" s="88"/>
    </row>
    <row r="35" ht="58.75" customHeight="1" spans="1:6">
      <c r="A35" s="92" t="s">
        <v>100</v>
      </c>
      <c r="B35" s="89" t="s">
        <v>101</v>
      </c>
      <c r="C35" s="92" t="s">
        <v>29</v>
      </c>
      <c r="D35" s="92">
        <f>(1.5*1.5*20)+(0.4*0.6*4)</f>
        <v>45.96</v>
      </c>
      <c r="E35" s="45"/>
      <c r="F35" s="88">
        <f t="shared" si="0"/>
        <v>0</v>
      </c>
    </row>
    <row r="36" ht="34" spans="1:6">
      <c r="A36" s="92" t="s">
        <v>102</v>
      </c>
      <c r="B36" s="92" t="s">
        <v>103</v>
      </c>
      <c r="C36" s="92" t="s">
        <v>104</v>
      </c>
      <c r="D36" s="92">
        <v>5</v>
      </c>
      <c r="E36" s="45"/>
      <c r="F36" s="88">
        <f t="shared" si="0"/>
        <v>0</v>
      </c>
    </row>
    <row r="37" ht="34" spans="1:6">
      <c r="A37" s="92" t="s">
        <v>105</v>
      </c>
      <c r="B37" s="92" t="s">
        <v>106</v>
      </c>
      <c r="C37" s="92" t="s">
        <v>104</v>
      </c>
      <c r="D37" s="92">
        <v>5</v>
      </c>
      <c r="E37" s="45"/>
      <c r="F37" s="88">
        <f t="shared" si="0"/>
        <v>0</v>
      </c>
    </row>
    <row r="38" ht="34" spans="1:6">
      <c r="A38" s="92" t="s">
        <v>107</v>
      </c>
      <c r="B38" s="92" t="s">
        <v>108</v>
      </c>
      <c r="C38" s="92" t="s">
        <v>104</v>
      </c>
      <c r="D38" s="92">
        <v>4</v>
      </c>
      <c r="E38" s="45"/>
      <c r="F38" s="88">
        <f t="shared" si="0"/>
        <v>0</v>
      </c>
    </row>
    <row r="39" ht="17" spans="1:6">
      <c r="A39" s="89">
        <v>1.8</v>
      </c>
      <c r="B39" s="89" t="s">
        <v>109</v>
      </c>
      <c r="C39" s="89"/>
      <c r="D39" s="89"/>
      <c r="E39" s="49"/>
      <c r="F39" s="88"/>
    </row>
    <row r="40" ht="34" spans="1:6">
      <c r="A40" s="92" t="s">
        <v>110</v>
      </c>
      <c r="B40" s="92" t="s">
        <v>111</v>
      </c>
      <c r="C40" s="92" t="s">
        <v>29</v>
      </c>
      <c r="D40" s="99">
        <f>262.75*3.5</f>
        <v>919.625</v>
      </c>
      <c r="E40" s="45"/>
      <c r="F40" s="88">
        <f t="shared" si="0"/>
        <v>0</v>
      </c>
    </row>
    <row r="41" ht="34" spans="1:6">
      <c r="A41" s="92" t="s">
        <v>112</v>
      </c>
      <c r="B41" s="92" t="s">
        <v>113</v>
      </c>
      <c r="C41" s="92" t="s">
        <v>29</v>
      </c>
      <c r="D41" s="99">
        <f>D40</f>
        <v>919.625</v>
      </c>
      <c r="E41" s="45"/>
      <c r="F41" s="88">
        <f t="shared" si="0"/>
        <v>0</v>
      </c>
    </row>
    <row r="42" ht="51" spans="1:6">
      <c r="A42" s="92" t="s">
        <v>114</v>
      </c>
      <c r="B42" s="92" t="s">
        <v>115</v>
      </c>
      <c r="C42" s="92" t="s">
        <v>29</v>
      </c>
      <c r="D42" s="92">
        <v>214.2</v>
      </c>
      <c r="E42" s="45"/>
      <c r="F42" s="88">
        <f t="shared" si="0"/>
        <v>0</v>
      </c>
    </row>
    <row r="43" ht="51" spans="1:6">
      <c r="A43" s="92" t="s">
        <v>116</v>
      </c>
      <c r="B43" s="92" t="s">
        <v>117</v>
      </c>
      <c r="C43" s="92" t="s">
        <v>29</v>
      </c>
      <c r="D43" s="92">
        <f>519.5</f>
        <v>519.5</v>
      </c>
      <c r="E43" s="45"/>
      <c r="F43" s="88">
        <f t="shared" si="0"/>
        <v>0</v>
      </c>
    </row>
    <row r="44" ht="34" spans="1:6">
      <c r="A44" s="92" t="s">
        <v>118</v>
      </c>
      <c r="B44" s="92" t="s">
        <v>119</v>
      </c>
      <c r="C44" s="92" t="s">
        <v>29</v>
      </c>
      <c r="D44" s="92">
        <f>262.75*3.5*2</f>
        <v>1839.25</v>
      </c>
      <c r="E44" s="45"/>
      <c r="F44" s="88">
        <f t="shared" si="0"/>
        <v>0</v>
      </c>
    </row>
    <row r="45" ht="34" spans="1:6">
      <c r="A45" s="92" t="s">
        <v>120</v>
      </c>
      <c r="B45" s="92" t="s">
        <v>121</v>
      </c>
      <c r="C45" s="92" t="s">
        <v>29</v>
      </c>
      <c r="D45" s="99">
        <f>(170.5*3.5*2)+(90*3.5)</f>
        <v>1508.5</v>
      </c>
      <c r="E45" s="48"/>
      <c r="F45" s="88">
        <f t="shared" si="0"/>
        <v>0</v>
      </c>
    </row>
    <row r="46" ht="34" spans="1:6">
      <c r="A46" s="14">
        <v>1.9</v>
      </c>
      <c r="B46" s="14" t="s">
        <v>122</v>
      </c>
      <c r="C46" s="14"/>
      <c r="D46" s="14"/>
      <c r="E46" s="14"/>
      <c r="F46" s="88">
        <f t="shared" si="0"/>
        <v>0</v>
      </c>
    </row>
    <row r="47" ht="51" spans="1:6">
      <c r="A47" s="100" t="s">
        <v>123</v>
      </c>
      <c r="B47" s="9" t="s">
        <v>124</v>
      </c>
      <c r="C47" s="9" t="s">
        <v>104</v>
      </c>
      <c r="D47" s="9">
        <v>4</v>
      </c>
      <c r="E47" s="9"/>
      <c r="F47" s="88">
        <f t="shared" si="0"/>
        <v>0</v>
      </c>
    </row>
    <row r="48" ht="51" spans="1:6">
      <c r="A48" s="100" t="s">
        <v>125</v>
      </c>
      <c r="B48" s="9" t="s">
        <v>126</v>
      </c>
      <c r="C48" s="9" t="s">
        <v>104</v>
      </c>
      <c r="D48" s="9">
        <v>4</v>
      </c>
      <c r="E48" s="9"/>
      <c r="F48" s="88">
        <f t="shared" si="0"/>
        <v>0</v>
      </c>
    </row>
    <row r="49" ht="51" spans="1:6">
      <c r="A49" s="100" t="s">
        <v>127</v>
      </c>
      <c r="B49" s="9" t="s">
        <v>128</v>
      </c>
      <c r="C49" s="9" t="s">
        <v>104</v>
      </c>
      <c r="D49" s="9">
        <v>38</v>
      </c>
      <c r="E49" s="9"/>
      <c r="F49" s="88">
        <f t="shared" si="0"/>
        <v>0</v>
      </c>
    </row>
    <row r="50" ht="51" spans="1:6">
      <c r="A50" s="87"/>
      <c r="B50" s="9" t="s">
        <v>129</v>
      </c>
      <c r="C50" s="9" t="s">
        <v>18</v>
      </c>
      <c r="D50" s="47">
        <v>1</v>
      </c>
      <c r="E50" s="47"/>
      <c r="F50" s="88">
        <f t="shared" si="0"/>
        <v>0</v>
      </c>
    </row>
    <row r="51" ht="17" spans="1:6">
      <c r="A51" s="87"/>
      <c r="B51" s="101" t="s">
        <v>130</v>
      </c>
      <c r="C51" s="87"/>
      <c r="D51" s="49"/>
      <c r="E51" s="49"/>
      <c r="F51" s="102">
        <f>SUM(F8:F50)</f>
        <v>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zoomScale="138" zoomScaleNormal="138" workbookViewId="0">
      <selection activeCell="E5" sqref="E5:E42"/>
    </sheetView>
  </sheetViews>
  <sheetFormatPr defaultColWidth="9" defaultRowHeight="16.8"/>
  <cols>
    <col min="1" max="1" width="8.90625" style="38"/>
    <col min="2" max="2" width="33.6328125" style="1" customWidth="1"/>
    <col min="3" max="3" width="8.90625" style="38"/>
    <col min="4" max="4" width="10.3671875" style="38" customWidth="1"/>
    <col min="5" max="5" width="8.90625" style="38"/>
    <col min="6" max="6" width="15.09375" style="38" customWidth="1"/>
  </cols>
  <sheetData>
    <row r="1" ht="17" spans="1:6">
      <c r="A1" s="40" t="s">
        <v>44</v>
      </c>
    </row>
    <row r="2" ht="20" spans="1:6">
      <c r="A2" s="66" t="s">
        <v>131</v>
      </c>
    </row>
    <row r="3" ht="36" spans="1:6">
      <c r="A3" s="74" t="s">
        <v>3</v>
      </c>
      <c r="B3" s="67" t="s">
        <v>4</v>
      </c>
      <c r="C3" s="74" t="s">
        <v>5</v>
      </c>
      <c r="D3" s="74" t="s">
        <v>6</v>
      </c>
      <c r="E3" s="74" t="s">
        <v>7</v>
      </c>
      <c r="F3" s="74" t="s">
        <v>8</v>
      </c>
    </row>
    <row r="4" ht="18" spans="1:6">
      <c r="A4" s="74">
        <v>2.1</v>
      </c>
      <c r="B4" s="67" t="s">
        <v>132</v>
      </c>
      <c r="C4" s="62"/>
      <c r="D4" s="62"/>
      <c r="E4" s="62"/>
      <c r="F4" s="62"/>
    </row>
    <row r="5" ht="53" spans="1:6">
      <c r="A5" s="75" t="s">
        <v>133</v>
      </c>
      <c r="B5" s="70" t="s">
        <v>134</v>
      </c>
      <c r="C5" s="75" t="s">
        <v>52</v>
      </c>
      <c r="D5" s="75">
        <f>153.86*0.15</f>
        <v>23.079</v>
      </c>
      <c r="E5" s="62"/>
      <c r="F5" s="62">
        <f>D5*E5</f>
        <v>0</v>
      </c>
    </row>
    <row r="6" ht="53" spans="1:6">
      <c r="A6" s="75" t="s">
        <v>135</v>
      </c>
      <c r="B6" s="70" t="s">
        <v>136</v>
      </c>
      <c r="C6" s="75" t="s">
        <v>52</v>
      </c>
      <c r="D6" s="75">
        <f>127*0.6*1.2</f>
        <v>91.44</v>
      </c>
      <c r="E6" s="62"/>
      <c r="F6" s="62">
        <f t="shared" ref="F6:F42" si="0">D6*E6</f>
        <v>0</v>
      </c>
    </row>
    <row r="7" ht="53" spans="1:6">
      <c r="A7" s="75" t="s">
        <v>137</v>
      </c>
      <c r="B7" s="70" t="s">
        <v>138</v>
      </c>
      <c r="C7" s="75" t="s">
        <v>52</v>
      </c>
      <c r="D7" s="75">
        <f>153.86*0.15</f>
        <v>23.079</v>
      </c>
      <c r="E7" s="62"/>
      <c r="F7" s="62">
        <f t="shared" si="0"/>
        <v>0</v>
      </c>
    </row>
    <row r="8" ht="53" spans="1:6">
      <c r="A8" s="75" t="s">
        <v>139</v>
      </c>
      <c r="B8" s="70" t="s">
        <v>140</v>
      </c>
      <c r="C8" s="75" t="s">
        <v>29</v>
      </c>
      <c r="D8" s="75">
        <v>153.86</v>
      </c>
      <c r="E8" s="62"/>
      <c r="F8" s="62">
        <f t="shared" si="0"/>
        <v>0</v>
      </c>
    </row>
    <row r="9" ht="36" spans="1:6">
      <c r="A9" s="74">
        <v>2.2</v>
      </c>
      <c r="B9" s="67" t="s">
        <v>141</v>
      </c>
      <c r="C9" s="62"/>
      <c r="D9" s="62"/>
      <c r="E9" s="62"/>
      <c r="F9" s="62">
        <f t="shared" si="0"/>
        <v>0</v>
      </c>
    </row>
    <row r="10" ht="36" spans="1:6">
      <c r="A10" s="75" t="s">
        <v>142</v>
      </c>
      <c r="B10" s="70" t="s">
        <v>61</v>
      </c>
      <c r="C10" s="75" t="s">
        <v>52</v>
      </c>
      <c r="D10" s="75">
        <f>127*0.6*0.05</f>
        <v>3.81</v>
      </c>
      <c r="E10" s="62"/>
      <c r="F10" s="62">
        <f t="shared" si="0"/>
        <v>0</v>
      </c>
    </row>
    <row r="11" ht="71" spans="1:6">
      <c r="A11" s="75" t="s">
        <v>143</v>
      </c>
      <c r="B11" s="70" t="s">
        <v>144</v>
      </c>
      <c r="C11" s="75" t="s">
        <v>52</v>
      </c>
      <c r="D11" s="75">
        <f>127*0.6*0.3</f>
        <v>22.86</v>
      </c>
      <c r="E11" s="62"/>
      <c r="F11" s="62">
        <f t="shared" si="0"/>
        <v>0</v>
      </c>
    </row>
    <row r="12" ht="53" spans="1:6">
      <c r="A12" s="75" t="s">
        <v>145</v>
      </c>
      <c r="B12" s="70" t="s">
        <v>146</v>
      </c>
      <c r="C12" s="75" t="s">
        <v>52</v>
      </c>
      <c r="D12" s="75">
        <f>(127*0.4*0.2*2)+(153.86*0.15)</f>
        <v>43.399</v>
      </c>
      <c r="E12" s="62"/>
      <c r="F12" s="62">
        <f t="shared" si="0"/>
        <v>0</v>
      </c>
    </row>
    <row r="13" ht="53" spans="1:6">
      <c r="A13" s="75" t="s">
        <v>147</v>
      </c>
      <c r="B13" s="70" t="s">
        <v>148</v>
      </c>
      <c r="C13" s="75" t="s">
        <v>69</v>
      </c>
      <c r="D13" s="76">
        <v>3925</v>
      </c>
      <c r="E13" s="62"/>
      <c r="F13" s="62">
        <f t="shared" si="0"/>
        <v>0</v>
      </c>
    </row>
    <row r="14" ht="36" spans="1:6">
      <c r="A14" s="75" t="s">
        <v>149</v>
      </c>
      <c r="B14" s="70" t="s">
        <v>150</v>
      </c>
      <c r="C14" s="75" t="s">
        <v>29</v>
      </c>
      <c r="D14" s="75">
        <v>146.9</v>
      </c>
      <c r="E14" s="62"/>
      <c r="F14" s="62">
        <f t="shared" si="0"/>
        <v>0</v>
      </c>
    </row>
    <row r="15" ht="53" spans="1:6">
      <c r="A15" s="75" t="s">
        <v>151</v>
      </c>
      <c r="B15" s="70" t="s">
        <v>152</v>
      </c>
      <c r="C15" s="75" t="s">
        <v>29</v>
      </c>
      <c r="D15" s="75">
        <v>138.2</v>
      </c>
      <c r="E15" s="62"/>
      <c r="F15" s="62">
        <f t="shared" si="0"/>
        <v>0</v>
      </c>
    </row>
    <row r="16" ht="18" spans="1:6">
      <c r="A16" s="74">
        <v>2.3</v>
      </c>
      <c r="B16" s="67" t="s">
        <v>153</v>
      </c>
      <c r="C16" s="62"/>
      <c r="D16" s="62"/>
      <c r="E16" s="62"/>
      <c r="F16" s="62">
        <f t="shared" si="0"/>
        <v>0</v>
      </c>
    </row>
    <row r="17" ht="64.75" customHeight="1" spans="1:10">
      <c r="A17" s="75" t="s">
        <v>154</v>
      </c>
      <c r="B17" s="70" t="s">
        <v>155</v>
      </c>
      <c r="C17" s="75" t="s">
        <v>29</v>
      </c>
      <c r="D17" s="75">
        <f>57*3.5</f>
        <v>199.5</v>
      </c>
      <c r="E17" s="62"/>
      <c r="F17" s="62">
        <f t="shared" si="0"/>
        <v>0</v>
      </c>
    </row>
    <row r="18" ht="79.25" customHeight="1" spans="1:10">
      <c r="A18" s="75" t="s">
        <v>156</v>
      </c>
      <c r="B18" s="70" t="s">
        <v>157</v>
      </c>
      <c r="C18" s="75" t="s">
        <v>29</v>
      </c>
      <c r="D18" s="75">
        <f>16*3.5</f>
        <v>56</v>
      </c>
      <c r="E18" s="62"/>
      <c r="F18" s="62">
        <f t="shared" si="0"/>
        <v>0</v>
      </c>
    </row>
    <row r="19" ht="36" spans="1:10">
      <c r="A19" s="75" t="s">
        <v>158</v>
      </c>
      <c r="B19" s="70" t="s">
        <v>159</v>
      </c>
      <c r="C19" s="75" t="s">
        <v>29</v>
      </c>
      <c r="D19" s="75">
        <f>70*3.5</f>
        <v>245</v>
      </c>
      <c r="E19" s="62"/>
      <c r="F19" s="62">
        <f t="shared" si="0"/>
        <v>0</v>
      </c>
    </row>
    <row r="20" ht="18" spans="1:10">
      <c r="A20" s="74">
        <v>2.4</v>
      </c>
      <c r="B20" s="67" t="s">
        <v>160</v>
      </c>
      <c r="C20" s="62"/>
      <c r="D20" s="62"/>
      <c r="E20" s="62"/>
      <c r="F20" s="62">
        <f t="shared" si="0"/>
        <v>0</v>
      </c>
    </row>
    <row r="21" ht="71" spans="1:10">
      <c r="A21" s="75" t="s">
        <v>161</v>
      </c>
      <c r="B21" s="70" t="s">
        <v>162</v>
      </c>
      <c r="C21" s="75" t="s">
        <v>52</v>
      </c>
      <c r="D21" s="75">
        <v>21.4</v>
      </c>
      <c r="E21" s="62"/>
      <c r="F21" s="62">
        <f t="shared" si="0"/>
        <v>0</v>
      </c>
    </row>
    <row r="22" ht="36" spans="1:10">
      <c r="A22" s="75" t="s">
        <v>163</v>
      </c>
      <c r="B22" s="70" t="s">
        <v>164</v>
      </c>
      <c r="C22" s="75" t="s">
        <v>29</v>
      </c>
      <c r="D22" s="75">
        <v>172.5</v>
      </c>
      <c r="E22" s="62"/>
      <c r="F22" s="62">
        <f t="shared" si="0"/>
        <v>0</v>
      </c>
    </row>
    <row r="23" ht="36.65" customHeight="1" spans="1:10">
      <c r="A23" s="75" t="s">
        <v>165</v>
      </c>
      <c r="B23" s="70" t="s">
        <v>85</v>
      </c>
      <c r="C23" s="75" t="s">
        <v>69</v>
      </c>
      <c r="D23" s="75">
        <v>2354</v>
      </c>
      <c r="E23" s="62"/>
      <c r="F23" s="62">
        <f t="shared" si="0"/>
        <v>0</v>
      </c>
    </row>
    <row r="24" ht="18" spans="1:10">
      <c r="A24" s="74">
        <v>2.5</v>
      </c>
      <c r="B24" s="67" t="s">
        <v>166</v>
      </c>
      <c r="C24" s="62"/>
      <c r="D24" s="62"/>
      <c r="E24" s="62"/>
      <c r="F24" s="62">
        <f t="shared" si="0"/>
        <v>0</v>
      </c>
    </row>
    <row r="25" ht="51" spans="1:10">
      <c r="A25" s="75" t="s">
        <v>167</v>
      </c>
      <c r="B25" s="47" t="s">
        <v>168</v>
      </c>
      <c r="C25" s="75" t="s">
        <v>29</v>
      </c>
      <c r="D25" s="75">
        <v>192</v>
      </c>
      <c r="E25" s="62"/>
      <c r="F25" s="62">
        <f t="shared" si="0"/>
        <v>0</v>
      </c>
    </row>
    <row r="26" ht="101" spans="1:10">
      <c r="A26" s="75" t="s">
        <v>169</v>
      </c>
      <c r="B26" s="47" t="s">
        <v>94</v>
      </c>
      <c r="C26" s="75" t="s">
        <v>29</v>
      </c>
      <c r="D26" s="75">
        <f>153.6*1.25</f>
        <v>192</v>
      </c>
      <c r="E26" s="62"/>
      <c r="F26" s="62">
        <f t="shared" si="0"/>
        <v>0</v>
      </c>
      <c r="J26" s="77"/>
    </row>
    <row r="27" ht="71" spans="1:10">
      <c r="A27" s="75" t="s">
        <v>170</v>
      </c>
      <c r="B27" s="67" t="s">
        <v>171</v>
      </c>
      <c r="C27" s="75" t="s">
        <v>29</v>
      </c>
      <c r="D27" s="75">
        <v>153.6</v>
      </c>
      <c r="E27" s="62"/>
      <c r="F27" s="62">
        <f t="shared" si="0"/>
        <v>0</v>
      </c>
    </row>
    <row r="28" ht="18" spans="1:10">
      <c r="A28" s="74">
        <v>2.6</v>
      </c>
      <c r="B28" s="67" t="s">
        <v>172</v>
      </c>
      <c r="C28" s="62"/>
      <c r="D28" s="62"/>
      <c r="E28" s="62"/>
      <c r="F28" s="62">
        <f t="shared" si="0"/>
        <v>0</v>
      </c>
    </row>
    <row r="29" ht="88" spans="1:10">
      <c r="A29" s="75" t="s">
        <v>173</v>
      </c>
      <c r="B29" s="67" t="s">
        <v>174</v>
      </c>
      <c r="C29" s="75" t="s">
        <v>29</v>
      </c>
      <c r="D29" s="75">
        <f>(1.5*1.2*11)</f>
        <v>19.8</v>
      </c>
      <c r="E29" s="62"/>
      <c r="F29" s="62">
        <f t="shared" si="0"/>
        <v>0</v>
      </c>
    </row>
    <row r="30" ht="71" spans="1:10">
      <c r="A30" s="75" t="s">
        <v>175</v>
      </c>
      <c r="B30" s="70" t="s">
        <v>176</v>
      </c>
      <c r="C30" s="75" t="s">
        <v>104</v>
      </c>
      <c r="D30" s="75">
        <v>1</v>
      </c>
      <c r="E30" s="62"/>
      <c r="F30" s="62">
        <f t="shared" si="0"/>
        <v>0</v>
      </c>
    </row>
    <row r="31" ht="53" spans="1:10">
      <c r="A31" s="75" t="s">
        <v>177</v>
      </c>
      <c r="B31" s="70" t="s">
        <v>178</v>
      </c>
      <c r="C31" s="75" t="s">
        <v>104</v>
      </c>
      <c r="D31" s="75">
        <v>11</v>
      </c>
      <c r="E31" s="62"/>
      <c r="F31" s="62">
        <f t="shared" si="0"/>
        <v>0</v>
      </c>
    </row>
    <row r="32" ht="53" spans="1:10">
      <c r="A32" s="75" t="s">
        <v>179</v>
      </c>
      <c r="B32" s="70" t="s">
        <v>180</v>
      </c>
      <c r="C32" s="75" t="s">
        <v>18</v>
      </c>
      <c r="D32" s="75">
        <v>1</v>
      </c>
      <c r="E32" s="62"/>
      <c r="F32" s="62">
        <f t="shared" si="0"/>
        <v>0</v>
      </c>
    </row>
    <row r="33" ht="18" spans="1:6">
      <c r="A33" s="74">
        <v>2.7</v>
      </c>
      <c r="B33" s="67" t="s">
        <v>181</v>
      </c>
      <c r="C33" s="62"/>
      <c r="D33" s="62"/>
      <c r="E33" s="62"/>
      <c r="F33" s="62">
        <f t="shared" si="0"/>
        <v>0</v>
      </c>
    </row>
    <row r="34" ht="53" spans="1:6">
      <c r="A34" s="75" t="s">
        <v>182</v>
      </c>
      <c r="B34" s="70" t="s">
        <v>183</v>
      </c>
      <c r="C34" s="75" t="s">
        <v>29</v>
      </c>
      <c r="D34" s="75">
        <v>749.6</v>
      </c>
      <c r="E34" s="62"/>
      <c r="F34" s="62">
        <f t="shared" si="0"/>
        <v>0</v>
      </c>
    </row>
    <row r="35" ht="53" spans="1:6">
      <c r="A35" s="75" t="s">
        <v>184</v>
      </c>
      <c r="B35" s="70" t="s">
        <v>185</v>
      </c>
      <c r="C35" s="75" t="s">
        <v>29</v>
      </c>
      <c r="D35" s="75">
        <v>242</v>
      </c>
      <c r="E35" s="62"/>
      <c r="F35" s="62">
        <f t="shared" si="0"/>
        <v>0</v>
      </c>
    </row>
    <row r="36" ht="53" spans="1:6">
      <c r="A36" s="75" t="s">
        <v>186</v>
      </c>
      <c r="B36" s="70" t="s">
        <v>187</v>
      </c>
      <c r="C36" s="75" t="s">
        <v>29</v>
      </c>
      <c r="D36" s="75">
        <v>153.86</v>
      </c>
      <c r="E36" s="62"/>
      <c r="F36" s="62">
        <f t="shared" si="0"/>
        <v>0</v>
      </c>
    </row>
    <row r="37" ht="53" spans="1:6">
      <c r="A37" s="75" t="s">
        <v>188</v>
      </c>
      <c r="B37" s="70" t="s">
        <v>189</v>
      </c>
      <c r="C37" s="75" t="s">
        <v>29</v>
      </c>
      <c r="D37" s="75">
        <v>242</v>
      </c>
      <c r="E37" s="62"/>
      <c r="F37" s="62">
        <f t="shared" si="0"/>
        <v>0</v>
      </c>
    </row>
    <row r="38" ht="53" spans="1:6">
      <c r="A38" s="75" t="s">
        <v>190</v>
      </c>
      <c r="B38" s="70" t="s">
        <v>191</v>
      </c>
      <c r="C38" s="75" t="s">
        <v>29</v>
      </c>
      <c r="D38" s="75">
        <v>749.6</v>
      </c>
      <c r="E38" s="62"/>
      <c r="F38" s="62">
        <f t="shared" si="0"/>
        <v>0</v>
      </c>
    </row>
    <row r="39" ht="18" spans="1:6">
      <c r="A39" s="74">
        <v>2.8</v>
      </c>
      <c r="B39" s="67" t="s">
        <v>192</v>
      </c>
      <c r="C39" s="62"/>
      <c r="D39" s="62"/>
      <c r="E39" s="62"/>
      <c r="F39" s="62">
        <f t="shared" si="0"/>
        <v>0</v>
      </c>
    </row>
    <row r="40" ht="53" spans="1:6">
      <c r="A40" s="75" t="s">
        <v>193</v>
      </c>
      <c r="B40" s="70" t="s">
        <v>194</v>
      </c>
      <c r="C40" s="75" t="s">
        <v>104</v>
      </c>
      <c r="D40" s="75">
        <v>6</v>
      </c>
      <c r="E40" s="62"/>
      <c r="F40" s="62">
        <f t="shared" si="0"/>
        <v>0</v>
      </c>
    </row>
    <row r="41" ht="65.4" customHeight="1" spans="1:6">
      <c r="A41" s="75" t="s">
        <v>195</v>
      </c>
      <c r="B41" s="70" t="s">
        <v>196</v>
      </c>
      <c r="C41" s="75" t="s">
        <v>104</v>
      </c>
      <c r="D41" s="75">
        <v>32</v>
      </c>
      <c r="E41" s="62"/>
      <c r="F41" s="62">
        <f t="shared" si="0"/>
        <v>0</v>
      </c>
    </row>
    <row r="42" ht="53" spans="1:6">
      <c r="A42" s="75" t="s">
        <v>197</v>
      </c>
      <c r="B42" s="70" t="s">
        <v>198</v>
      </c>
      <c r="C42" s="75" t="s">
        <v>18</v>
      </c>
      <c r="D42" s="75">
        <v>1</v>
      </c>
      <c r="E42" s="62"/>
      <c r="F42" s="62">
        <f t="shared" si="0"/>
        <v>0</v>
      </c>
    </row>
    <row r="43" spans="1:6">
      <c r="A43" s="54"/>
      <c r="B43" s="48"/>
      <c r="C43" s="54"/>
      <c r="D43" s="54"/>
      <c r="E43" s="54"/>
      <c r="F43" s="54"/>
    </row>
    <row r="44" ht="17" spans="1:6">
      <c r="A44" s="54"/>
      <c r="B44" s="48" t="s">
        <v>43</v>
      </c>
      <c r="C44" s="54"/>
      <c r="D44" s="54"/>
      <c r="E44" s="54" t="s">
        <v>43</v>
      </c>
      <c r="F44" s="78">
        <f>SUM(F5:F42)</f>
        <v>0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zoomScale="110" zoomScaleNormal="110" workbookViewId="0">
      <selection activeCell="H8" sqref="H8"/>
    </sheetView>
  </sheetViews>
  <sheetFormatPr defaultColWidth="9" defaultRowHeight="16.8" outlineLevelCol="5"/>
  <cols>
    <col min="1" max="1" width="8.90625" style="38"/>
    <col min="2" max="2" width="30" style="1" customWidth="1"/>
    <col min="3" max="3" width="8.90625" style="38"/>
    <col min="4" max="4" width="11.8203125" style="38" customWidth="1"/>
    <col min="5" max="5" width="9.546875" style="38" customWidth="1"/>
    <col min="6" max="6" width="17.90625" style="39" customWidth="1"/>
  </cols>
  <sheetData>
    <row r="1" ht="17" spans="1:6">
      <c r="A1" s="40" t="s">
        <v>44</v>
      </c>
    </row>
    <row r="2" ht="20" spans="1:6">
      <c r="A2" s="66" t="s">
        <v>199</v>
      </c>
    </row>
    <row r="5" ht="18" spans="1:6">
      <c r="A5" s="67" t="s">
        <v>3</v>
      </c>
      <c r="B5" s="67" t="s">
        <v>4</v>
      </c>
      <c r="C5" s="67" t="s">
        <v>5</v>
      </c>
      <c r="D5" s="67" t="s">
        <v>6</v>
      </c>
      <c r="E5" s="67" t="s">
        <v>7</v>
      </c>
      <c r="F5" s="68" t="s">
        <v>8</v>
      </c>
    </row>
    <row r="6" ht="36" spans="1:6">
      <c r="A6" s="67">
        <v>3.1</v>
      </c>
      <c r="B6" s="67" t="s">
        <v>200</v>
      </c>
      <c r="C6" s="48"/>
      <c r="D6" s="48"/>
      <c r="E6" s="48"/>
      <c r="F6" s="69"/>
    </row>
    <row r="7" ht="53" spans="1:6">
      <c r="A7" s="70" t="s">
        <v>201</v>
      </c>
      <c r="B7" s="70" t="s">
        <v>202</v>
      </c>
      <c r="C7" s="70" t="s">
        <v>52</v>
      </c>
      <c r="D7" s="70">
        <f>133.86*0.15</f>
        <v>20.079</v>
      </c>
      <c r="E7" s="48"/>
      <c r="F7" s="69">
        <f>D7*E7</f>
        <v>0</v>
      </c>
    </row>
    <row r="8" ht="53" spans="1:6">
      <c r="A8" s="70" t="s">
        <v>203</v>
      </c>
      <c r="B8" s="70" t="s">
        <v>204</v>
      </c>
      <c r="C8" s="70" t="s">
        <v>52</v>
      </c>
      <c r="D8" s="70">
        <f>107.2*0.6*1.2</f>
        <v>77.184</v>
      </c>
      <c r="E8" s="48"/>
      <c r="F8" s="69">
        <f t="shared" ref="F8:F45" si="0">D8*E8</f>
        <v>0</v>
      </c>
    </row>
    <row r="9" ht="53" spans="1:6">
      <c r="A9" s="70" t="s">
        <v>205</v>
      </c>
      <c r="B9" s="70" t="s">
        <v>206</v>
      </c>
      <c r="C9" s="70" t="s">
        <v>52</v>
      </c>
      <c r="D9" s="70">
        <f>133.86*0.15</f>
        <v>20.079</v>
      </c>
      <c r="E9" s="48"/>
      <c r="F9" s="69">
        <f t="shared" si="0"/>
        <v>0</v>
      </c>
    </row>
    <row r="10" ht="53" spans="1:6">
      <c r="A10" s="70" t="s">
        <v>207</v>
      </c>
      <c r="B10" s="70" t="s">
        <v>208</v>
      </c>
      <c r="C10" s="70" t="s">
        <v>29</v>
      </c>
      <c r="D10" s="70">
        <f>133.86*1.1</f>
        <v>147.246</v>
      </c>
      <c r="E10" s="48"/>
      <c r="F10" s="69">
        <f t="shared" si="0"/>
        <v>0</v>
      </c>
    </row>
    <row r="11" ht="36" spans="1:6">
      <c r="A11" s="67">
        <v>3.2</v>
      </c>
      <c r="B11" s="67" t="s">
        <v>209</v>
      </c>
      <c r="C11" s="48"/>
      <c r="D11" s="48"/>
      <c r="E11" s="48"/>
      <c r="F11" s="69">
        <f t="shared" si="0"/>
        <v>0</v>
      </c>
    </row>
    <row r="12" ht="53" spans="1:6">
      <c r="A12" s="70" t="s">
        <v>210</v>
      </c>
      <c r="B12" s="70" t="s">
        <v>211</v>
      </c>
      <c r="C12" s="70" t="s">
        <v>52</v>
      </c>
      <c r="D12" s="70">
        <f>107.2*0.6*0.05</f>
        <v>3.216</v>
      </c>
      <c r="E12" s="48"/>
      <c r="F12" s="69">
        <f t="shared" si="0"/>
        <v>0</v>
      </c>
    </row>
    <row r="13" ht="71" spans="1:6">
      <c r="A13" s="70" t="s">
        <v>212</v>
      </c>
      <c r="B13" s="70" t="s">
        <v>213</v>
      </c>
      <c r="C13" s="70" t="s">
        <v>52</v>
      </c>
      <c r="D13" s="70">
        <f>107.2*0.6*0.3</f>
        <v>19.296</v>
      </c>
      <c r="E13" s="48"/>
      <c r="F13" s="69">
        <f t="shared" si="0"/>
        <v>0</v>
      </c>
    </row>
    <row r="14" ht="68.4" customHeight="1" spans="1:6">
      <c r="A14" s="70" t="s">
        <v>214</v>
      </c>
      <c r="B14" s="70" t="s">
        <v>215</v>
      </c>
      <c r="C14" s="70" t="s">
        <v>52</v>
      </c>
      <c r="D14" s="70">
        <f>(107.2*0.4*0.2*2)+(133.86*0.15)</f>
        <v>37.231</v>
      </c>
      <c r="E14" s="48"/>
      <c r="F14" s="69">
        <f t="shared" si="0"/>
        <v>0</v>
      </c>
    </row>
    <row r="15" ht="53" spans="1:6">
      <c r="A15" s="70" t="s">
        <v>216</v>
      </c>
      <c r="B15" s="70" t="s">
        <v>217</v>
      </c>
      <c r="C15" s="70" t="s">
        <v>69</v>
      </c>
      <c r="D15" s="71">
        <v>3620</v>
      </c>
      <c r="E15" s="48"/>
      <c r="F15" s="69">
        <f t="shared" si="0"/>
        <v>0</v>
      </c>
    </row>
    <row r="16" ht="53" spans="1:6">
      <c r="A16" s="70" t="s">
        <v>218</v>
      </c>
      <c r="B16" s="70" t="s">
        <v>219</v>
      </c>
      <c r="C16" s="70" t="s">
        <v>29</v>
      </c>
      <c r="D16" s="70">
        <v>132.1</v>
      </c>
      <c r="E16" s="48"/>
      <c r="F16" s="69">
        <f t="shared" si="0"/>
        <v>0</v>
      </c>
    </row>
    <row r="17" ht="53" spans="1:6">
      <c r="A17" s="70" t="s">
        <v>220</v>
      </c>
      <c r="B17" s="70" t="s">
        <v>221</v>
      </c>
      <c r="C17" s="70" t="s">
        <v>29</v>
      </c>
      <c r="D17" s="70">
        <v>126.4</v>
      </c>
      <c r="E17" s="48"/>
      <c r="F17" s="69">
        <f t="shared" si="0"/>
        <v>0</v>
      </c>
    </row>
    <row r="18" ht="36" spans="1:6">
      <c r="A18" s="67">
        <v>3.3</v>
      </c>
      <c r="B18" s="67" t="s">
        <v>222</v>
      </c>
      <c r="C18" s="48"/>
      <c r="D18" s="48"/>
      <c r="E18" s="48"/>
      <c r="F18" s="69">
        <f t="shared" si="0"/>
        <v>0</v>
      </c>
    </row>
    <row r="19" ht="71" spans="1:6">
      <c r="A19" s="70" t="s">
        <v>223</v>
      </c>
      <c r="B19" s="70" t="s">
        <v>224</v>
      </c>
      <c r="C19" s="70" t="s">
        <v>52</v>
      </c>
      <c r="D19" s="70">
        <v>8.85</v>
      </c>
      <c r="E19" s="48"/>
      <c r="F19" s="69">
        <f t="shared" si="0"/>
        <v>0</v>
      </c>
    </row>
    <row r="20" ht="53" spans="1:6">
      <c r="A20" s="70" t="s">
        <v>225</v>
      </c>
      <c r="B20" s="70" t="s">
        <v>226</v>
      </c>
      <c r="C20" s="70" t="s">
        <v>29</v>
      </c>
      <c r="D20" s="70">
        <v>74.2</v>
      </c>
      <c r="E20" s="48"/>
      <c r="F20" s="69">
        <f t="shared" si="0"/>
        <v>0</v>
      </c>
    </row>
    <row r="21" ht="53" spans="1:6">
      <c r="A21" s="70" t="s">
        <v>227</v>
      </c>
      <c r="B21" s="70" t="s">
        <v>228</v>
      </c>
      <c r="C21" s="70" t="s">
        <v>69</v>
      </c>
      <c r="D21" s="70">
        <v>974</v>
      </c>
      <c r="E21" s="48"/>
      <c r="F21" s="69">
        <f t="shared" si="0"/>
        <v>0</v>
      </c>
    </row>
    <row r="22" ht="53" spans="1:6">
      <c r="A22" s="70" t="s">
        <v>229</v>
      </c>
      <c r="B22" s="70" t="s">
        <v>230</v>
      </c>
      <c r="C22" s="70" t="s">
        <v>29</v>
      </c>
      <c r="D22" s="70">
        <f>46*3.5</f>
        <v>161</v>
      </c>
      <c r="E22" s="48"/>
      <c r="F22" s="69">
        <f t="shared" si="0"/>
        <v>0</v>
      </c>
    </row>
    <row r="23" ht="71" spans="1:6">
      <c r="A23" s="70" t="s">
        <v>231</v>
      </c>
      <c r="B23" s="70" t="s">
        <v>232</v>
      </c>
      <c r="C23" s="70" t="s">
        <v>29</v>
      </c>
      <c r="D23" s="70">
        <f>61.2*3.5</f>
        <v>214.2</v>
      </c>
      <c r="E23" s="48"/>
      <c r="F23" s="69">
        <f t="shared" si="0"/>
        <v>0</v>
      </c>
    </row>
    <row r="24" ht="18" spans="1:6">
      <c r="A24" s="67">
        <v>3.4</v>
      </c>
      <c r="B24" s="67" t="s">
        <v>233</v>
      </c>
      <c r="C24" s="48"/>
      <c r="D24" s="48"/>
      <c r="E24" s="48"/>
      <c r="F24" s="69">
        <f t="shared" si="0"/>
        <v>0</v>
      </c>
    </row>
    <row r="25" ht="68" spans="1:6">
      <c r="A25" s="70" t="s">
        <v>234</v>
      </c>
      <c r="B25" s="47" t="s">
        <v>168</v>
      </c>
      <c r="C25" s="70" t="s">
        <v>29</v>
      </c>
      <c r="D25" s="70">
        <v>174.018</v>
      </c>
      <c r="E25" s="48"/>
      <c r="F25" s="69">
        <f t="shared" si="0"/>
        <v>0</v>
      </c>
    </row>
    <row r="26" ht="118" spans="1:6">
      <c r="A26" s="70" t="s">
        <v>235</v>
      </c>
      <c r="B26" s="47" t="s">
        <v>94</v>
      </c>
      <c r="C26" s="70" t="s">
        <v>29</v>
      </c>
      <c r="D26" s="70">
        <f>133.86*1.3</f>
        <v>174.018</v>
      </c>
      <c r="E26" s="48"/>
      <c r="F26" s="69">
        <f t="shared" si="0"/>
        <v>0</v>
      </c>
    </row>
    <row r="27" ht="71" spans="1:6">
      <c r="A27" s="70" t="s">
        <v>236</v>
      </c>
      <c r="B27" s="70" t="s">
        <v>237</v>
      </c>
      <c r="C27" s="70" t="s">
        <v>29</v>
      </c>
      <c r="D27" s="70">
        <v>133.86</v>
      </c>
      <c r="E27" s="48"/>
      <c r="F27" s="69">
        <f t="shared" si="0"/>
        <v>0</v>
      </c>
    </row>
    <row r="28" ht="36" spans="1:6">
      <c r="A28" s="67">
        <v>3.5</v>
      </c>
      <c r="B28" s="67" t="s">
        <v>238</v>
      </c>
      <c r="C28" s="48"/>
      <c r="D28" s="48"/>
      <c r="E28" s="48"/>
      <c r="F28" s="69">
        <f t="shared" si="0"/>
        <v>0</v>
      </c>
    </row>
    <row r="29" ht="71" spans="1:6">
      <c r="A29" s="70" t="s">
        <v>239</v>
      </c>
      <c r="B29" s="70" t="s">
        <v>240</v>
      </c>
      <c r="C29" s="70" t="s">
        <v>29</v>
      </c>
      <c r="D29" s="70">
        <f>(1.5*1.2*9)+(0.4*0.6*1)</f>
        <v>16.44</v>
      </c>
      <c r="E29" s="48"/>
      <c r="F29" s="69">
        <f t="shared" si="0"/>
        <v>0</v>
      </c>
    </row>
    <row r="30" ht="53" spans="1:6">
      <c r="A30" s="70" t="s">
        <v>241</v>
      </c>
      <c r="B30" s="70" t="s">
        <v>242</v>
      </c>
      <c r="C30" s="70" t="s">
        <v>104</v>
      </c>
      <c r="D30" s="70">
        <v>3</v>
      </c>
      <c r="E30" s="48"/>
      <c r="F30" s="69">
        <f t="shared" si="0"/>
        <v>0</v>
      </c>
    </row>
    <row r="31" ht="53" spans="1:6">
      <c r="A31" s="70" t="s">
        <v>243</v>
      </c>
      <c r="B31" s="70" t="s">
        <v>244</v>
      </c>
      <c r="C31" s="70" t="s">
        <v>104</v>
      </c>
      <c r="D31" s="70">
        <v>4</v>
      </c>
      <c r="E31" s="48"/>
      <c r="F31" s="69">
        <f t="shared" si="0"/>
        <v>0</v>
      </c>
    </row>
    <row r="32" ht="53" spans="1:6">
      <c r="A32" s="70" t="s">
        <v>245</v>
      </c>
      <c r="B32" s="70" t="s">
        <v>246</v>
      </c>
      <c r="C32" s="70" t="s">
        <v>104</v>
      </c>
      <c r="D32" s="70">
        <v>4</v>
      </c>
      <c r="E32" s="48"/>
      <c r="F32" s="69">
        <f t="shared" si="0"/>
        <v>0</v>
      </c>
    </row>
    <row r="33" ht="71" spans="1:6">
      <c r="A33" s="70" t="s">
        <v>247</v>
      </c>
      <c r="B33" s="70" t="s">
        <v>248</v>
      </c>
      <c r="C33" s="70" t="s">
        <v>18</v>
      </c>
      <c r="D33" s="70">
        <v>1</v>
      </c>
      <c r="E33" s="48"/>
      <c r="F33" s="69">
        <f t="shared" si="0"/>
        <v>0</v>
      </c>
    </row>
    <row r="34" ht="36" spans="1:6">
      <c r="A34" s="67">
        <v>3.6</v>
      </c>
      <c r="B34" s="67" t="s">
        <v>249</v>
      </c>
      <c r="C34" s="48"/>
      <c r="D34" s="48"/>
      <c r="E34" s="48"/>
      <c r="F34" s="69">
        <f t="shared" si="0"/>
        <v>0</v>
      </c>
    </row>
    <row r="35" ht="53" spans="1:6">
      <c r="A35" s="70" t="s">
        <v>250</v>
      </c>
      <c r="B35" s="70" t="s">
        <v>251</v>
      </c>
      <c r="C35" s="70" t="s">
        <v>29</v>
      </c>
      <c r="D35" s="70">
        <v>698.4</v>
      </c>
      <c r="E35" s="48"/>
      <c r="F35" s="69">
        <f t="shared" si="0"/>
        <v>0</v>
      </c>
    </row>
    <row r="36" ht="53" spans="1:6">
      <c r="A36" s="70" t="s">
        <v>252</v>
      </c>
      <c r="B36" s="70" t="s">
        <v>253</v>
      </c>
      <c r="C36" s="70" t="s">
        <v>29</v>
      </c>
      <c r="D36" s="70">
        <v>214.2</v>
      </c>
      <c r="E36" s="48"/>
      <c r="F36" s="69">
        <f t="shared" si="0"/>
        <v>0</v>
      </c>
    </row>
    <row r="37" ht="53" spans="1:6">
      <c r="A37" s="70" t="s">
        <v>254</v>
      </c>
      <c r="B37" s="70" t="s">
        <v>255</v>
      </c>
      <c r="C37" s="70" t="s">
        <v>29</v>
      </c>
      <c r="D37" s="70">
        <v>94.6</v>
      </c>
      <c r="E37" s="48"/>
      <c r="F37" s="69">
        <f t="shared" si="0"/>
        <v>0</v>
      </c>
    </row>
    <row r="38" ht="53" spans="1:6">
      <c r="A38" s="70" t="s">
        <v>256</v>
      </c>
      <c r="B38" s="70" t="s">
        <v>187</v>
      </c>
      <c r="C38" s="70" t="s">
        <v>29</v>
      </c>
      <c r="D38" s="70">
        <v>133.86</v>
      </c>
      <c r="E38" s="48"/>
      <c r="F38" s="69">
        <f t="shared" si="0"/>
        <v>0</v>
      </c>
    </row>
    <row r="39" ht="53" spans="1:6">
      <c r="A39" s="70" t="s">
        <v>257</v>
      </c>
      <c r="B39" s="70" t="s">
        <v>119</v>
      </c>
      <c r="C39" s="70" t="s">
        <v>29</v>
      </c>
      <c r="D39" s="70">
        <v>214.2</v>
      </c>
      <c r="E39" s="48"/>
      <c r="F39" s="69">
        <f t="shared" si="0"/>
        <v>0</v>
      </c>
    </row>
    <row r="40" ht="53" spans="1:6">
      <c r="A40" s="70" t="s">
        <v>258</v>
      </c>
      <c r="B40" s="70" t="s">
        <v>259</v>
      </c>
      <c r="C40" s="70" t="s">
        <v>29</v>
      </c>
      <c r="D40" s="70">
        <v>603.8</v>
      </c>
      <c r="E40" s="48"/>
      <c r="F40" s="69">
        <f t="shared" si="0"/>
        <v>0</v>
      </c>
    </row>
    <row r="41" ht="36" spans="1:6">
      <c r="A41" s="67">
        <v>3.7</v>
      </c>
      <c r="B41" s="67" t="s">
        <v>260</v>
      </c>
      <c r="C41" s="48"/>
      <c r="D41" s="48"/>
      <c r="E41" s="48"/>
      <c r="F41" s="69">
        <f t="shared" si="0"/>
        <v>0</v>
      </c>
    </row>
    <row r="42" ht="53" spans="1:6">
      <c r="A42" s="70" t="s">
        <v>261</v>
      </c>
      <c r="B42" s="70" t="s">
        <v>262</v>
      </c>
      <c r="C42" s="70" t="s">
        <v>104</v>
      </c>
      <c r="D42" s="70">
        <v>4</v>
      </c>
      <c r="E42" s="48"/>
      <c r="F42" s="69">
        <f t="shared" si="0"/>
        <v>0</v>
      </c>
    </row>
    <row r="43" ht="53" spans="1:6">
      <c r="A43" s="70" t="s">
        <v>263</v>
      </c>
      <c r="B43" s="70" t="s">
        <v>264</v>
      </c>
      <c r="C43" s="70" t="s">
        <v>104</v>
      </c>
      <c r="D43" s="70">
        <v>5</v>
      </c>
      <c r="E43" s="48"/>
      <c r="F43" s="69">
        <f t="shared" si="0"/>
        <v>0</v>
      </c>
    </row>
    <row r="44" ht="71" spans="1:6">
      <c r="A44" s="70" t="s">
        <v>265</v>
      </c>
      <c r="B44" s="70" t="s">
        <v>266</v>
      </c>
      <c r="C44" s="70" t="s">
        <v>104</v>
      </c>
      <c r="D44" s="70">
        <v>28</v>
      </c>
      <c r="E44" s="48"/>
      <c r="F44" s="69">
        <f t="shared" si="0"/>
        <v>0</v>
      </c>
    </row>
    <row r="45" ht="53" spans="1:6">
      <c r="A45" s="70" t="s">
        <v>267</v>
      </c>
      <c r="B45" s="70" t="s">
        <v>268</v>
      </c>
      <c r="C45" s="70" t="s">
        <v>18</v>
      </c>
      <c r="D45" s="70">
        <v>1</v>
      </c>
      <c r="E45" s="48"/>
      <c r="F45" s="69">
        <f t="shared" si="0"/>
        <v>0</v>
      </c>
    </row>
    <row r="46" spans="1:6">
      <c r="A46" s="54"/>
      <c r="B46" s="48"/>
      <c r="C46" s="54"/>
      <c r="D46" s="54"/>
      <c r="E46" s="54"/>
      <c r="F46" s="65"/>
    </row>
    <row r="47" ht="17.6" spans="1:6">
      <c r="A47" s="54"/>
      <c r="B47" s="48"/>
      <c r="C47" s="54"/>
      <c r="D47" s="54"/>
      <c r="E47" s="72" t="s">
        <v>43</v>
      </c>
      <c r="F47" s="73">
        <f>SUM(F7:F45)</f>
        <v>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zoomScale="121" zoomScaleNormal="121" workbookViewId="0">
      <selection activeCell="E6" sqref="E6:E45"/>
    </sheetView>
  </sheetViews>
  <sheetFormatPr defaultColWidth="9" defaultRowHeight="16.8" outlineLevelCol="7"/>
  <cols>
    <col min="2" max="2" width="29.90625" style="56" customWidth="1"/>
    <col min="4" max="4" width="10.90625" customWidth="1"/>
    <col min="6" max="6" width="15.453125" customWidth="1"/>
    <col min="8" max="8" width="26.09375" customWidth="1"/>
  </cols>
  <sheetData>
    <row r="1" ht="17" spans="1:6">
      <c r="A1" s="40" t="s">
        <v>44</v>
      </c>
      <c r="B1" s="1"/>
      <c r="C1" s="38"/>
      <c r="D1" s="38"/>
      <c r="E1" s="38"/>
      <c r="F1" s="38"/>
    </row>
    <row r="2" s="55" customFormat="1" ht="17.6" spans="1:6">
      <c r="A2" s="57" t="s">
        <v>269</v>
      </c>
      <c r="B2" s="58"/>
      <c r="C2" s="59"/>
      <c r="D2" s="59"/>
      <c r="E2" s="59"/>
      <c r="F2" s="59"/>
    </row>
    <row r="3" spans="1:6">
      <c r="A3" s="38"/>
      <c r="B3" s="1"/>
      <c r="C3" s="38"/>
      <c r="D3" s="38"/>
      <c r="E3" s="38"/>
      <c r="F3" s="38"/>
    </row>
    <row r="4" ht="34" spans="1:6">
      <c r="A4" s="60" t="s">
        <v>3</v>
      </c>
      <c r="B4" s="52" t="s">
        <v>4</v>
      </c>
      <c r="C4" s="60" t="s">
        <v>5</v>
      </c>
      <c r="D4" s="60" t="s">
        <v>6</v>
      </c>
      <c r="E4" s="60" t="s">
        <v>7</v>
      </c>
      <c r="F4" s="60" t="s">
        <v>8</v>
      </c>
    </row>
    <row r="5" ht="17" spans="1:6">
      <c r="A5" s="60">
        <v>4.1</v>
      </c>
      <c r="B5" s="52" t="s">
        <v>200</v>
      </c>
      <c r="C5" s="61"/>
      <c r="D5" s="61"/>
      <c r="E5" s="61"/>
      <c r="F5" s="61"/>
    </row>
    <row r="6" ht="68" spans="1:6">
      <c r="A6" s="61" t="s">
        <v>270</v>
      </c>
      <c r="B6" s="47" t="s">
        <v>271</v>
      </c>
      <c r="C6" s="61" t="s">
        <v>52</v>
      </c>
      <c r="D6" s="61">
        <f>111.3*0.15</f>
        <v>16.695</v>
      </c>
      <c r="E6" s="62"/>
      <c r="F6" s="61">
        <f>D6*E6</f>
        <v>0</v>
      </c>
    </row>
    <row r="7" ht="51" spans="1:6">
      <c r="A7" s="61" t="s">
        <v>272</v>
      </c>
      <c r="B7" s="47" t="s">
        <v>273</v>
      </c>
      <c r="C7" s="61" t="s">
        <v>52</v>
      </c>
      <c r="D7" s="61">
        <f>79.9*0.6*1.2</f>
        <v>57.528</v>
      </c>
      <c r="E7" s="62"/>
      <c r="F7" s="61">
        <f t="shared" ref="F7:F45" si="0">D7*E7</f>
        <v>0</v>
      </c>
    </row>
    <row r="8" ht="68" spans="1:6">
      <c r="A8" s="61" t="s">
        <v>274</v>
      </c>
      <c r="B8" s="47" t="s">
        <v>275</v>
      </c>
      <c r="C8" s="61" t="s">
        <v>52</v>
      </c>
      <c r="D8" s="61">
        <f>111.3*0.15*1.2</f>
        <v>20.034</v>
      </c>
      <c r="E8" s="62"/>
      <c r="F8" s="61">
        <f t="shared" si="0"/>
        <v>0</v>
      </c>
    </row>
    <row r="9" ht="68" spans="1:6">
      <c r="A9" s="61" t="s">
        <v>276</v>
      </c>
      <c r="B9" s="47" t="s">
        <v>277</v>
      </c>
      <c r="C9" s="61" t="s">
        <v>29</v>
      </c>
      <c r="D9" s="61">
        <v>98.6</v>
      </c>
      <c r="E9" s="62"/>
      <c r="F9" s="61">
        <f t="shared" si="0"/>
        <v>0</v>
      </c>
    </row>
    <row r="10" ht="34" spans="1:6">
      <c r="A10" s="60">
        <v>4.2</v>
      </c>
      <c r="B10" s="52" t="s">
        <v>209</v>
      </c>
      <c r="C10" s="61"/>
      <c r="D10" s="61"/>
      <c r="E10" s="61"/>
      <c r="F10" s="61">
        <f t="shared" si="0"/>
        <v>0</v>
      </c>
    </row>
    <row r="11" ht="34" spans="1:6">
      <c r="A11" s="61" t="s">
        <v>278</v>
      </c>
      <c r="B11" s="47" t="s">
        <v>61</v>
      </c>
      <c r="C11" s="61" t="s">
        <v>52</v>
      </c>
      <c r="D11" s="61">
        <v>1.97</v>
      </c>
      <c r="E11" s="62"/>
      <c r="F11" s="61">
        <f t="shared" si="0"/>
        <v>0</v>
      </c>
    </row>
    <row r="12" ht="68" spans="1:6">
      <c r="A12" s="61" t="s">
        <v>279</v>
      </c>
      <c r="B12" s="47" t="s">
        <v>213</v>
      </c>
      <c r="C12" s="61" t="s">
        <v>52</v>
      </c>
      <c r="D12" s="61">
        <f>79.9*0.6*0.3</f>
        <v>14.382</v>
      </c>
      <c r="E12" s="62"/>
      <c r="F12" s="61">
        <f t="shared" si="0"/>
        <v>0</v>
      </c>
    </row>
    <row r="13" ht="68" spans="1:6">
      <c r="A13" s="61" t="s">
        <v>280</v>
      </c>
      <c r="B13" s="47" t="s">
        <v>281</v>
      </c>
      <c r="C13" s="61" t="s">
        <v>52</v>
      </c>
      <c r="D13" s="61">
        <f>(79.9*0.4*0.2*2)+(111.3*0.15)</f>
        <v>29.479</v>
      </c>
      <c r="E13" s="62"/>
      <c r="F13" s="61">
        <f t="shared" si="0"/>
        <v>0</v>
      </c>
    </row>
    <row r="14" ht="51" spans="1:6">
      <c r="A14" s="61" t="s">
        <v>282</v>
      </c>
      <c r="B14" s="47" t="s">
        <v>283</v>
      </c>
      <c r="C14" s="61" t="s">
        <v>69</v>
      </c>
      <c r="D14" s="63">
        <v>2750</v>
      </c>
      <c r="E14" s="62"/>
      <c r="F14" s="61">
        <f t="shared" si="0"/>
        <v>0</v>
      </c>
    </row>
    <row r="15" ht="51" spans="1:6">
      <c r="A15" s="61" t="s">
        <v>284</v>
      </c>
      <c r="B15" s="47" t="s">
        <v>285</v>
      </c>
      <c r="C15" s="61" t="s">
        <v>29</v>
      </c>
      <c r="D15" s="61">
        <v>98.6</v>
      </c>
      <c r="E15" s="62"/>
      <c r="F15" s="61">
        <f t="shared" si="0"/>
        <v>0</v>
      </c>
    </row>
    <row r="16" ht="51" spans="1:6">
      <c r="A16" s="61" t="s">
        <v>286</v>
      </c>
      <c r="B16" s="47" t="s">
        <v>287</v>
      </c>
      <c r="C16" s="61" t="s">
        <v>29</v>
      </c>
      <c r="D16" s="61">
        <v>94.2</v>
      </c>
      <c r="E16" s="62"/>
      <c r="F16" s="61">
        <f t="shared" si="0"/>
        <v>0</v>
      </c>
    </row>
    <row r="17" ht="17" spans="1:8">
      <c r="A17" s="60">
        <v>4.3</v>
      </c>
      <c r="B17" s="52" t="s">
        <v>288</v>
      </c>
      <c r="C17" s="61"/>
      <c r="D17" s="61"/>
      <c r="E17" s="61"/>
      <c r="F17" s="61">
        <f t="shared" si="0"/>
        <v>0</v>
      </c>
    </row>
    <row r="18" ht="68" spans="1:8">
      <c r="A18" s="61" t="s">
        <v>289</v>
      </c>
      <c r="B18" s="47" t="s">
        <v>290</v>
      </c>
      <c r="C18" s="61" t="s">
        <v>29</v>
      </c>
      <c r="D18" s="61">
        <f>43*3.5</f>
        <v>150.5</v>
      </c>
      <c r="E18" s="61"/>
      <c r="F18" s="61">
        <f t="shared" si="0"/>
        <v>0</v>
      </c>
    </row>
    <row r="19" ht="68" spans="1:8">
      <c r="A19" s="61" t="s">
        <v>291</v>
      </c>
      <c r="B19" s="47" t="s">
        <v>292</v>
      </c>
      <c r="C19" s="61" t="s">
        <v>29</v>
      </c>
      <c r="D19" s="61">
        <f>36.9*3.5</f>
        <v>129.15</v>
      </c>
      <c r="E19" s="61"/>
      <c r="F19" s="61">
        <f t="shared" si="0"/>
        <v>0</v>
      </c>
    </row>
    <row r="20" ht="34" spans="1:8">
      <c r="A20" s="60">
        <v>4.4</v>
      </c>
      <c r="B20" s="52" t="s">
        <v>293</v>
      </c>
      <c r="C20" s="61"/>
      <c r="D20" s="61"/>
      <c r="E20" s="61"/>
      <c r="F20" s="61">
        <f t="shared" si="0"/>
        <v>0</v>
      </c>
    </row>
    <row r="21" ht="84" spans="1:8">
      <c r="A21" s="61" t="s">
        <v>294</v>
      </c>
      <c r="B21" s="47" t="s">
        <v>295</v>
      </c>
      <c r="C21" s="61" t="s">
        <v>52</v>
      </c>
      <c r="D21" s="61">
        <v>6.85</v>
      </c>
      <c r="E21" s="61"/>
      <c r="F21" s="61">
        <f t="shared" si="0"/>
        <v>0</v>
      </c>
    </row>
    <row r="22" ht="51" spans="1:8">
      <c r="A22" s="61" t="s">
        <v>296</v>
      </c>
      <c r="B22" s="47" t="s">
        <v>297</v>
      </c>
      <c r="C22" s="61" t="s">
        <v>29</v>
      </c>
      <c r="D22" s="61">
        <v>58.4</v>
      </c>
      <c r="E22" s="61"/>
      <c r="F22" s="61">
        <f t="shared" si="0"/>
        <v>0</v>
      </c>
    </row>
    <row r="23" ht="51" spans="1:8">
      <c r="A23" s="61" t="s">
        <v>298</v>
      </c>
      <c r="B23" s="47" t="s">
        <v>299</v>
      </c>
      <c r="C23" s="61" t="s">
        <v>69</v>
      </c>
      <c r="D23" s="61">
        <v>724</v>
      </c>
      <c r="E23" s="61"/>
      <c r="F23" s="61">
        <f t="shared" si="0"/>
        <v>0</v>
      </c>
    </row>
    <row r="24" ht="17" spans="1:8">
      <c r="A24" s="60">
        <v>4.5</v>
      </c>
      <c r="B24" s="52" t="s">
        <v>233</v>
      </c>
      <c r="C24" s="61"/>
      <c r="D24" s="61"/>
      <c r="E24" s="61"/>
      <c r="F24" s="61">
        <f t="shared" si="0"/>
        <v>0</v>
      </c>
    </row>
    <row r="25" ht="68" spans="1:8">
      <c r="A25" s="61" t="s">
        <v>300</v>
      </c>
      <c r="B25" s="47" t="s">
        <v>168</v>
      </c>
      <c r="C25" s="61" t="s">
        <v>29</v>
      </c>
      <c r="D25" s="61">
        <v>144.69</v>
      </c>
      <c r="E25" s="62"/>
      <c r="F25" s="61">
        <f t="shared" si="0"/>
        <v>0</v>
      </c>
    </row>
    <row r="26" ht="124.75" customHeight="1" spans="1:8">
      <c r="A26" s="61" t="s">
        <v>301</v>
      </c>
      <c r="B26" s="47" t="s">
        <v>94</v>
      </c>
      <c r="C26" s="61" t="s">
        <v>29</v>
      </c>
      <c r="D26" s="61">
        <f>111.3*1.3</f>
        <v>144.69</v>
      </c>
      <c r="E26" s="62"/>
      <c r="F26" s="61">
        <f t="shared" si="0"/>
        <v>0</v>
      </c>
      <c r="H26" s="64"/>
    </row>
    <row r="27" ht="105.65" customHeight="1" spans="1:8">
      <c r="A27" s="61" t="s">
        <v>302</v>
      </c>
      <c r="B27" s="47" t="s">
        <v>303</v>
      </c>
      <c r="C27" s="61" t="s">
        <v>29</v>
      </c>
      <c r="D27" s="61">
        <f>111.3</f>
        <v>111.3</v>
      </c>
      <c r="E27" s="62"/>
      <c r="F27" s="61">
        <f t="shared" si="0"/>
        <v>0</v>
      </c>
    </row>
    <row r="28" ht="37.75" customHeight="1" spans="1:8">
      <c r="A28" s="60">
        <v>4.6</v>
      </c>
      <c r="B28" s="52" t="s">
        <v>238</v>
      </c>
      <c r="C28" s="61"/>
      <c r="D28" s="61"/>
      <c r="E28" s="61"/>
      <c r="F28" s="61">
        <f t="shared" si="0"/>
        <v>0</v>
      </c>
    </row>
    <row r="29" ht="68" spans="1:8">
      <c r="A29" s="61" t="s">
        <v>304</v>
      </c>
      <c r="B29" s="47" t="s">
        <v>240</v>
      </c>
      <c r="C29" s="61" t="s">
        <v>29</v>
      </c>
      <c r="D29" s="61">
        <f>(1.5*1.2*9)+(0.4*0.6*3)</f>
        <v>16.92</v>
      </c>
      <c r="E29" s="62"/>
      <c r="F29" s="61">
        <f t="shared" si="0"/>
        <v>0</v>
      </c>
    </row>
    <row r="30" ht="68" spans="1:8">
      <c r="A30" s="61" t="s">
        <v>305</v>
      </c>
      <c r="B30" s="47" t="s">
        <v>306</v>
      </c>
      <c r="C30" s="61" t="s">
        <v>104</v>
      </c>
      <c r="D30" s="61">
        <v>2</v>
      </c>
      <c r="E30" s="62"/>
      <c r="F30" s="61">
        <f t="shared" si="0"/>
        <v>0</v>
      </c>
    </row>
    <row r="31" ht="68" spans="1:8">
      <c r="A31" s="61" t="s">
        <v>307</v>
      </c>
      <c r="B31" s="47" t="s">
        <v>308</v>
      </c>
      <c r="C31" s="61" t="s">
        <v>104</v>
      </c>
      <c r="D31" s="61">
        <v>5</v>
      </c>
      <c r="E31" s="62"/>
      <c r="F31" s="61">
        <f t="shared" si="0"/>
        <v>0</v>
      </c>
    </row>
    <row r="32" ht="51" spans="1:8">
      <c r="A32" s="61" t="s">
        <v>309</v>
      </c>
      <c r="B32" s="47" t="s">
        <v>310</v>
      </c>
      <c r="C32" s="61" t="s">
        <v>104</v>
      </c>
      <c r="D32" s="61">
        <v>2</v>
      </c>
      <c r="E32" s="62"/>
      <c r="F32" s="61">
        <f t="shared" si="0"/>
        <v>0</v>
      </c>
    </row>
    <row r="33" ht="68" spans="1:6">
      <c r="A33" s="61" t="s">
        <v>311</v>
      </c>
      <c r="B33" s="47" t="s">
        <v>312</v>
      </c>
      <c r="C33" s="61" t="s">
        <v>18</v>
      </c>
      <c r="D33" s="61">
        <v>1</v>
      </c>
      <c r="E33" s="62"/>
      <c r="F33" s="61">
        <f t="shared" si="0"/>
        <v>0</v>
      </c>
    </row>
    <row r="34" ht="34" spans="1:6">
      <c r="A34" s="60">
        <v>4.7</v>
      </c>
      <c r="B34" s="52" t="s">
        <v>313</v>
      </c>
      <c r="C34" s="61"/>
      <c r="D34" s="61"/>
      <c r="E34" s="61"/>
      <c r="F34" s="61">
        <f t="shared" si="0"/>
        <v>0</v>
      </c>
    </row>
    <row r="35" ht="51" spans="1:6">
      <c r="A35" s="61" t="s">
        <v>314</v>
      </c>
      <c r="B35" s="47" t="s">
        <v>315</v>
      </c>
      <c r="C35" s="61" t="s">
        <v>29</v>
      </c>
      <c r="D35" s="61">
        <f>(79.9*3.5*2)-(43*3.5)</f>
        <v>408.8</v>
      </c>
      <c r="E35" s="62"/>
      <c r="F35" s="61">
        <f t="shared" si="0"/>
        <v>0</v>
      </c>
    </row>
    <row r="36" ht="68" spans="1:6">
      <c r="A36" s="61" t="s">
        <v>316</v>
      </c>
      <c r="B36" s="47" t="s">
        <v>317</v>
      </c>
      <c r="C36" s="61" t="s">
        <v>29</v>
      </c>
      <c r="D36" s="61">
        <f>43*3.5</f>
        <v>150.5</v>
      </c>
      <c r="E36" s="62"/>
      <c r="F36" s="61">
        <f t="shared" si="0"/>
        <v>0</v>
      </c>
    </row>
    <row r="37" ht="68" spans="1:6">
      <c r="A37" s="61" t="s">
        <v>318</v>
      </c>
      <c r="B37" s="47" t="s">
        <v>319</v>
      </c>
      <c r="C37" s="61" t="s">
        <v>29</v>
      </c>
      <c r="D37" s="61">
        <v>76.2</v>
      </c>
      <c r="E37" s="62"/>
      <c r="F37" s="61">
        <f t="shared" si="0"/>
        <v>0</v>
      </c>
    </row>
    <row r="38" ht="68" spans="1:6">
      <c r="A38" s="61" t="s">
        <v>320</v>
      </c>
      <c r="B38" s="47" t="s">
        <v>187</v>
      </c>
      <c r="C38" s="61" t="s">
        <v>29</v>
      </c>
      <c r="D38" s="61">
        <v>111.3</v>
      </c>
      <c r="E38" s="62"/>
      <c r="F38" s="61">
        <f t="shared" si="0"/>
        <v>0</v>
      </c>
    </row>
    <row r="39" ht="51" spans="1:6">
      <c r="A39" s="61" t="s">
        <v>321</v>
      </c>
      <c r="B39" s="47" t="s">
        <v>119</v>
      </c>
      <c r="C39" s="61" t="s">
        <v>29</v>
      </c>
      <c r="D39" s="61">
        <v>150.5</v>
      </c>
      <c r="E39" s="62"/>
      <c r="F39" s="61">
        <f t="shared" si="0"/>
        <v>0</v>
      </c>
    </row>
    <row r="40" ht="51" spans="1:6">
      <c r="A40" s="61" t="s">
        <v>322</v>
      </c>
      <c r="B40" s="47" t="s">
        <v>259</v>
      </c>
      <c r="C40" s="61" t="s">
        <v>29</v>
      </c>
      <c r="D40" s="61">
        <v>408.8</v>
      </c>
      <c r="E40" s="62"/>
      <c r="F40" s="61">
        <f t="shared" si="0"/>
        <v>0</v>
      </c>
    </row>
    <row r="41" ht="53.4" customHeight="1" spans="1:6">
      <c r="A41" s="60">
        <v>4.8</v>
      </c>
      <c r="B41" s="52" t="s">
        <v>323</v>
      </c>
      <c r="C41" s="61"/>
      <c r="D41" s="61"/>
      <c r="E41" s="61"/>
      <c r="F41" s="61">
        <f t="shared" si="0"/>
        <v>0</v>
      </c>
    </row>
    <row r="42" ht="51" spans="1:6">
      <c r="A42" s="61" t="s">
        <v>324</v>
      </c>
      <c r="B42" s="47" t="s">
        <v>262</v>
      </c>
      <c r="C42" s="61" t="s">
        <v>104</v>
      </c>
      <c r="D42" s="61">
        <v>2</v>
      </c>
      <c r="E42" s="61"/>
      <c r="F42" s="61">
        <f t="shared" si="0"/>
        <v>0</v>
      </c>
    </row>
    <row r="43" ht="68" spans="1:6">
      <c r="A43" s="61" t="s">
        <v>325</v>
      </c>
      <c r="B43" s="47" t="s">
        <v>326</v>
      </c>
      <c r="C43" s="61" t="s">
        <v>104</v>
      </c>
      <c r="D43" s="61">
        <v>4</v>
      </c>
      <c r="E43" s="62"/>
      <c r="F43" s="61">
        <f t="shared" si="0"/>
        <v>0</v>
      </c>
    </row>
    <row r="44" ht="68" spans="1:6">
      <c r="A44" s="61" t="s">
        <v>327</v>
      </c>
      <c r="B44" s="47" t="s">
        <v>328</v>
      </c>
      <c r="C44" s="61" t="s">
        <v>104</v>
      </c>
      <c r="D44" s="61">
        <v>22</v>
      </c>
      <c r="E44" s="62"/>
      <c r="F44" s="61">
        <f t="shared" si="0"/>
        <v>0</v>
      </c>
    </row>
    <row r="45" ht="68" spans="1:6">
      <c r="A45" s="61" t="s">
        <v>329</v>
      </c>
      <c r="B45" s="47" t="s">
        <v>268</v>
      </c>
      <c r="C45" s="61" t="s">
        <v>18</v>
      </c>
      <c r="D45" s="61">
        <v>1</v>
      </c>
      <c r="E45" s="62"/>
      <c r="F45" s="61">
        <f t="shared" si="0"/>
        <v>0</v>
      </c>
    </row>
    <row r="46" spans="1:6">
      <c r="A46" s="54"/>
      <c r="B46" s="48"/>
      <c r="C46" s="54"/>
      <c r="D46" s="54"/>
      <c r="E46" s="54"/>
      <c r="F46" s="54"/>
    </row>
    <row r="47" spans="1:6">
      <c r="A47" s="54"/>
      <c r="B47" s="48"/>
      <c r="C47" s="54"/>
      <c r="D47" s="54"/>
      <c r="E47" s="54" t="s">
        <v>43</v>
      </c>
      <c r="F47" s="65">
        <f>SUM(F6:F45)</f>
        <v>0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8"/>
  <sheetViews>
    <sheetView zoomScale="142" zoomScaleNormal="142" workbookViewId="0">
      <selection activeCell="E7" sqref="E7:E46"/>
    </sheetView>
  </sheetViews>
  <sheetFormatPr defaultColWidth="9" defaultRowHeight="16.8" outlineLevelCol="5"/>
  <cols>
    <col min="1" max="1" width="8.90625" style="38"/>
    <col min="2" max="2" width="28.90625" style="1" customWidth="1"/>
    <col min="3" max="3" width="8.90625" style="38"/>
    <col min="4" max="4" width="10.90625" style="38" customWidth="1"/>
    <col min="5" max="5" width="8.90625" style="38"/>
    <col min="6" max="6" width="14.09375" style="38" customWidth="1"/>
  </cols>
  <sheetData>
    <row r="2" ht="17" spans="1:6">
      <c r="A2" s="40" t="s">
        <v>44</v>
      </c>
    </row>
    <row r="3" ht="20" spans="1:6">
      <c r="A3" s="51" t="s">
        <v>330</v>
      </c>
    </row>
    <row r="5" ht="17" spans="1:6">
      <c r="A5" s="52" t="s">
        <v>3</v>
      </c>
      <c r="B5" s="52" t="s">
        <v>4</v>
      </c>
      <c r="C5" s="52" t="s">
        <v>5</v>
      </c>
      <c r="D5" s="52" t="s">
        <v>6</v>
      </c>
      <c r="E5" s="52" t="s">
        <v>7</v>
      </c>
      <c r="F5" s="52" t="s">
        <v>8</v>
      </c>
    </row>
    <row r="6" ht="17" spans="1:6">
      <c r="A6" s="52">
        <v>5.1</v>
      </c>
      <c r="B6" s="52" t="s">
        <v>200</v>
      </c>
      <c r="C6" s="47"/>
      <c r="D6" s="47"/>
      <c r="E6" s="47"/>
      <c r="F6" s="47"/>
    </row>
    <row r="7" ht="68" spans="1:6">
      <c r="A7" s="47" t="s">
        <v>331</v>
      </c>
      <c r="B7" s="47" t="s">
        <v>332</v>
      </c>
      <c r="C7" s="47" t="s">
        <v>52</v>
      </c>
      <c r="D7" s="47">
        <f>36.26*0.15</f>
        <v>5.439</v>
      </c>
      <c r="E7" s="48"/>
      <c r="F7" s="47">
        <f>D7*E7</f>
        <v>0</v>
      </c>
    </row>
    <row r="8" ht="68" spans="1:6">
      <c r="A8" s="47" t="s">
        <v>333</v>
      </c>
      <c r="B8" s="47" t="s">
        <v>334</v>
      </c>
      <c r="C8" s="47" t="s">
        <v>52</v>
      </c>
      <c r="D8" s="47">
        <f>41.6*0.6*1.2</f>
        <v>29.952</v>
      </c>
      <c r="E8" s="48"/>
      <c r="F8" s="47">
        <f t="shared" ref="F8:F46" si="0">D8*E8</f>
        <v>0</v>
      </c>
    </row>
    <row r="9" ht="68" spans="1:6">
      <c r="A9" s="47" t="s">
        <v>335</v>
      </c>
      <c r="B9" s="47" t="s">
        <v>336</v>
      </c>
      <c r="C9" s="47" t="s">
        <v>52</v>
      </c>
      <c r="D9" s="47">
        <f>36.26*0.15</f>
        <v>5.439</v>
      </c>
      <c r="E9" s="48"/>
      <c r="F9" s="47">
        <f t="shared" si="0"/>
        <v>0</v>
      </c>
    </row>
    <row r="10" ht="68" spans="1:6">
      <c r="A10" s="47" t="s">
        <v>337</v>
      </c>
      <c r="B10" s="47" t="s">
        <v>338</v>
      </c>
      <c r="C10" s="47" t="s">
        <v>29</v>
      </c>
      <c r="D10" s="47">
        <v>39.1</v>
      </c>
      <c r="E10" s="48"/>
      <c r="F10" s="47">
        <f t="shared" si="0"/>
        <v>0</v>
      </c>
    </row>
    <row r="11" ht="34" spans="1:6">
      <c r="A11" s="52">
        <v>5.2</v>
      </c>
      <c r="B11" s="52" t="s">
        <v>209</v>
      </c>
      <c r="C11" s="47"/>
      <c r="D11" s="47"/>
      <c r="E11" s="47"/>
      <c r="F11" s="47">
        <f t="shared" si="0"/>
        <v>0</v>
      </c>
    </row>
    <row r="12" ht="34" spans="1:6">
      <c r="A12" s="47" t="s">
        <v>339</v>
      </c>
      <c r="B12" s="47" t="s">
        <v>61</v>
      </c>
      <c r="C12" s="47" t="s">
        <v>52</v>
      </c>
      <c r="D12" s="47">
        <f>41.6*0.6*0.05</f>
        <v>1.248</v>
      </c>
      <c r="E12" s="48"/>
      <c r="F12" s="47">
        <f t="shared" si="0"/>
        <v>0</v>
      </c>
    </row>
    <row r="13" ht="68" spans="1:6">
      <c r="A13" s="47" t="s">
        <v>340</v>
      </c>
      <c r="B13" s="47" t="s">
        <v>213</v>
      </c>
      <c r="C13" s="47" t="s">
        <v>52</v>
      </c>
      <c r="D13" s="47">
        <f>41.6*0.6*0.3</f>
        <v>7.488</v>
      </c>
      <c r="E13" s="48"/>
      <c r="F13" s="47">
        <f t="shared" si="0"/>
        <v>0</v>
      </c>
    </row>
    <row r="14" ht="68" spans="1:6">
      <c r="A14" s="47" t="s">
        <v>341</v>
      </c>
      <c r="B14" s="47" t="s">
        <v>342</v>
      </c>
      <c r="C14" s="47" t="s">
        <v>52</v>
      </c>
      <c r="D14" s="47">
        <f>41.6*0.2*0.4*2+36.6*0.15</f>
        <v>12.146</v>
      </c>
      <c r="E14" s="48"/>
      <c r="F14" s="47">
        <f t="shared" si="0"/>
        <v>0</v>
      </c>
    </row>
    <row r="15" ht="68" spans="1:6">
      <c r="A15" s="47" t="s">
        <v>343</v>
      </c>
      <c r="B15" s="47" t="s">
        <v>344</v>
      </c>
      <c r="C15" s="47" t="s">
        <v>69</v>
      </c>
      <c r="D15" s="53">
        <v>1420</v>
      </c>
      <c r="E15" s="48"/>
      <c r="F15" s="47">
        <f t="shared" si="0"/>
        <v>0</v>
      </c>
    </row>
    <row r="16" ht="68" spans="1:6">
      <c r="A16" s="47" t="s">
        <v>345</v>
      </c>
      <c r="B16" s="47" t="s">
        <v>346</v>
      </c>
      <c r="C16" s="47" t="s">
        <v>29</v>
      </c>
      <c r="D16" s="47">
        <v>39.1</v>
      </c>
      <c r="E16" s="48"/>
      <c r="F16" s="47">
        <f t="shared" si="0"/>
        <v>0</v>
      </c>
    </row>
    <row r="17" ht="68" spans="1:6">
      <c r="A17" s="47" t="s">
        <v>347</v>
      </c>
      <c r="B17" s="47" t="s">
        <v>348</v>
      </c>
      <c r="C17" s="47" t="s">
        <v>29</v>
      </c>
      <c r="D17" s="47">
        <v>48.8</v>
      </c>
      <c r="E17" s="48"/>
      <c r="F17" s="47">
        <f t="shared" si="0"/>
        <v>0</v>
      </c>
    </row>
    <row r="18" ht="17" spans="1:6">
      <c r="A18" s="52">
        <v>5.3</v>
      </c>
      <c r="B18" s="52" t="s">
        <v>288</v>
      </c>
      <c r="C18" s="47"/>
      <c r="D18" s="47"/>
      <c r="E18" s="47"/>
      <c r="F18" s="47">
        <f t="shared" si="0"/>
        <v>0</v>
      </c>
    </row>
    <row r="19" ht="68" spans="1:6">
      <c r="A19" s="47" t="s">
        <v>349</v>
      </c>
      <c r="B19" s="47" t="s">
        <v>350</v>
      </c>
      <c r="C19" s="47" t="s">
        <v>29</v>
      </c>
      <c r="D19" s="47">
        <f>37.6*3.5</f>
        <v>131.6</v>
      </c>
      <c r="E19" s="47"/>
      <c r="F19" s="47">
        <f t="shared" si="0"/>
        <v>0</v>
      </c>
    </row>
    <row r="20" ht="68" spans="1:6">
      <c r="A20" s="47" t="s">
        <v>351</v>
      </c>
      <c r="B20" s="47" t="s">
        <v>352</v>
      </c>
      <c r="C20" s="47" t="s">
        <v>29</v>
      </c>
      <c r="D20" s="47">
        <f>4*3.5</f>
        <v>14</v>
      </c>
      <c r="E20" s="47"/>
      <c r="F20" s="47">
        <f t="shared" si="0"/>
        <v>0</v>
      </c>
    </row>
    <row r="21" ht="34" spans="1:6">
      <c r="A21" s="52">
        <v>5.4</v>
      </c>
      <c r="B21" s="52" t="s">
        <v>353</v>
      </c>
      <c r="C21" s="47"/>
      <c r="D21" s="47"/>
      <c r="E21" s="47"/>
      <c r="F21" s="47">
        <f t="shared" si="0"/>
        <v>0</v>
      </c>
    </row>
    <row r="22" ht="84" spans="1:6">
      <c r="A22" s="47" t="s">
        <v>354</v>
      </c>
      <c r="B22" s="47" t="s">
        <v>355</v>
      </c>
      <c r="C22" s="47" t="s">
        <v>52</v>
      </c>
      <c r="D22" s="47">
        <v>3.12</v>
      </c>
      <c r="E22" s="47"/>
      <c r="F22" s="47">
        <f t="shared" si="0"/>
        <v>0</v>
      </c>
    </row>
    <row r="23" ht="68" spans="1:6">
      <c r="A23" s="47" t="s">
        <v>356</v>
      </c>
      <c r="B23" s="47" t="s">
        <v>357</v>
      </c>
      <c r="C23" s="47" t="s">
        <v>29</v>
      </c>
      <c r="D23" s="47">
        <v>29.6</v>
      </c>
      <c r="E23" s="47"/>
      <c r="F23" s="47">
        <f t="shared" si="0"/>
        <v>0</v>
      </c>
    </row>
    <row r="24" ht="68" spans="1:6">
      <c r="A24" s="47" t="s">
        <v>358</v>
      </c>
      <c r="B24" s="47" t="s">
        <v>359</v>
      </c>
      <c r="C24" s="47" t="s">
        <v>69</v>
      </c>
      <c r="D24" s="47">
        <v>342</v>
      </c>
      <c r="E24" s="47"/>
      <c r="F24" s="47">
        <f t="shared" si="0"/>
        <v>0</v>
      </c>
    </row>
    <row r="25" ht="17" spans="1:6">
      <c r="A25" s="52">
        <v>5.5</v>
      </c>
      <c r="B25" s="52" t="s">
        <v>233</v>
      </c>
      <c r="C25" s="47"/>
      <c r="D25" s="47"/>
      <c r="E25" s="47"/>
      <c r="F25" s="47">
        <f t="shared" si="0"/>
        <v>0</v>
      </c>
    </row>
    <row r="26" ht="68" spans="1:6">
      <c r="A26" s="47" t="s">
        <v>360</v>
      </c>
      <c r="B26" s="47" t="s">
        <v>168</v>
      </c>
      <c r="C26" s="47" t="s">
        <v>29</v>
      </c>
      <c r="D26" s="47">
        <v>47.138</v>
      </c>
      <c r="E26" s="48"/>
      <c r="F26" s="47">
        <f t="shared" si="0"/>
        <v>0</v>
      </c>
    </row>
    <row r="27" ht="135" spans="1:6">
      <c r="A27" s="47" t="s">
        <v>361</v>
      </c>
      <c r="B27" s="47" t="s">
        <v>94</v>
      </c>
      <c r="C27" s="47" t="s">
        <v>29</v>
      </c>
      <c r="D27" s="47">
        <f>36.26*1.3</f>
        <v>47.138</v>
      </c>
      <c r="E27" s="48"/>
      <c r="F27" s="47">
        <f t="shared" si="0"/>
        <v>0</v>
      </c>
    </row>
    <row r="28" ht="88.75" customHeight="1" spans="1:6">
      <c r="A28" s="47" t="s">
        <v>362</v>
      </c>
      <c r="B28" s="47" t="s">
        <v>363</v>
      </c>
      <c r="C28" s="47" t="s">
        <v>29</v>
      </c>
      <c r="D28" s="47">
        <v>36.6</v>
      </c>
      <c r="E28" s="48"/>
      <c r="F28" s="47">
        <f t="shared" si="0"/>
        <v>0</v>
      </c>
    </row>
    <row r="29" ht="61.75" customHeight="1" spans="1:6">
      <c r="A29" s="52">
        <v>5.6</v>
      </c>
      <c r="B29" s="52" t="s">
        <v>238</v>
      </c>
      <c r="C29" s="47"/>
      <c r="D29" s="47"/>
      <c r="E29" s="47"/>
      <c r="F29" s="47">
        <f t="shared" si="0"/>
        <v>0</v>
      </c>
    </row>
    <row r="30" ht="68" spans="1:6">
      <c r="A30" s="47" t="s">
        <v>364</v>
      </c>
      <c r="B30" s="47" t="s">
        <v>365</v>
      </c>
      <c r="C30" s="47" t="s">
        <v>29</v>
      </c>
      <c r="D30" s="47">
        <v>14.4</v>
      </c>
      <c r="E30" s="48"/>
      <c r="F30" s="47">
        <f t="shared" si="0"/>
        <v>0</v>
      </c>
    </row>
    <row r="31" ht="68" spans="1:6">
      <c r="A31" s="47" t="s">
        <v>366</v>
      </c>
      <c r="B31" s="47" t="s">
        <v>367</v>
      </c>
      <c r="C31" s="47" t="s">
        <v>104</v>
      </c>
      <c r="D31" s="47">
        <v>1</v>
      </c>
      <c r="E31" s="48"/>
      <c r="F31" s="47">
        <f t="shared" si="0"/>
        <v>0</v>
      </c>
    </row>
    <row r="32" ht="51" spans="1:6">
      <c r="A32" s="47" t="s">
        <v>368</v>
      </c>
      <c r="B32" s="47" t="s">
        <v>369</v>
      </c>
      <c r="C32" s="47" t="s">
        <v>104</v>
      </c>
      <c r="D32" s="47">
        <v>2</v>
      </c>
      <c r="E32" s="48"/>
      <c r="F32" s="47">
        <f t="shared" si="0"/>
        <v>0</v>
      </c>
    </row>
    <row r="33" ht="34" spans="1:6">
      <c r="A33" s="47" t="s">
        <v>370</v>
      </c>
      <c r="B33" s="47" t="s">
        <v>371</v>
      </c>
      <c r="C33" s="47" t="s">
        <v>104</v>
      </c>
      <c r="D33" s="47">
        <v>1</v>
      </c>
      <c r="E33" s="48"/>
      <c r="F33" s="47">
        <f t="shared" si="0"/>
        <v>0</v>
      </c>
    </row>
    <row r="34" ht="68" spans="1:6">
      <c r="A34" s="47" t="s">
        <v>372</v>
      </c>
      <c r="B34" s="47" t="s">
        <v>373</v>
      </c>
      <c r="C34" s="47" t="s">
        <v>18</v>
      </c>
      <c r="D34" s="47">
        <v>1</v>
      </c>
      <c r="E34" s="48"/>
      <c r="F34" s="47">
        <f t="shared" si="0"/>
        <v>0</v>
      </c>
    </row>
    <row r="35" ht="34" spans="1:6">
      <c r="A35" s="52">
        <v>5.7</v>
      </c>
      <c r="B35" s="52" t="s">
        <v>374</v>
      </c>
      <c r="C35" s="47"/>
      <c r="D35" s="47"/>
      <c r="E35" s="47"/>
      <c r="F35" s="47">
        <f t="shared" si="0"/>
        <v>0</v>
      </c>
    </row>
    <row r="36" ht="68" spans="1:6">
      <c r="A36" s="47" t="s">
        <v>375</v>
      </c>
      <c r="B36" s="47" t="s">
        <v>376</v>
      </c>
      <c r="C36" s="47" t="s">
        <v>29</v>
      </c>
      <c r="D36" s="47">
        <v>246</v>
      </c>
      <c r="E36" s="48"/>
      <c r="F36" s="47">
        <f t="shared" si="0"/>
        <v>0</v>
      </c>
    </row>
    <row r="37" ht="68" spans="1:6">
      <c r="A37" s="47" t="s">
        <v>377</v>
      </c>
      <c r="B37" s="47" t="s">
        <v>378</v>
      </c>
      <c r="C37" s="47" t="s">
        <v>29</v>
      </c>
      <c r="D37" s="47">
        <v>84.2</v>
      </c>
      <c r="E37" s="48"/>
      <c r="F37" s="47">
        <f t="shared" si="0"/>
        <v>0</v>
      </c>
    </row>
    <row r="38" ht="68" spans="1:6">
      <c r="A38" s="47" t="s">
        <v>379</v>
      </c>
      <c r="B38" s="47" t="s">
        <v>380</v>
      </c>
      <c r="C38" s="47" t="s">
        <v>29</v>
      </c>
      <c r="D38" s="47">
        <v>34.2</v>
      </c>
      <c r="E38" s="48"/>
      <c r="F38" s="47">
        <f t="shared" si="0"/>
        <v>0</v>
      </c>
    </row>
    <row r="39" ht="68" spans="1:6">
      <c r="A39" s="47" t="s">
        <v>381</v>
      </c>
      <c r="B39" s="47" t="s">
        <v>382</v>
      </c>
      <c r="C39" s="47" t="s">
        <v>29</v>
      </c>
      <c r="D39" s="47">
        <v>36.26</v>
      </c>
      <c r="E39" s="48"/>
      <c r="F39" s="47">
        <f t="shared" si="0"/>
        <v>0</v>
      </c>
    </row>
    <row r="40" ht="51" spans="1:6">
      <c r="A40" s="47" t="s">
        <v>383</v>
      </c>
      <c r="B40" s="47" t="s">
        <v>119</v>
      </c>
      <c r="C40" s="47" t="s">
        <v>29</v>
      </c>
      <c r="D40" s="47">
        <v>84.2</v>
      </c>
      <c r="E40" s="48"/>
      <c r="F40" s="47">
        <f t="shared" si="0"/>
        <v>0</v>
      </c>
    </row>
    <row r="41" ht="51" spans="1:6">
      <c r="A41" s="47" t="s">
        <v>384</v>
      </c>
      <c r="B41" s="47" t="s">
        <v>385</v>
      </c>
      <c r="C41" s="47" t="s">
        <v>29</v>
      </c>
      <c r="D41" s="47">
        <v>211.8</v>
      </c>
      <c r="E41" s="48"/>
      <c r="F41" s="47">
        <f t="shared" si="0"/>
        <v>0</v>
      </c>
    </row>
    <row r="42" ht="34" spans="1:6">
      <c r="A42" s="52">
        <v>5.8</v>
      </c>
      <c r="B42" s="52" t="s">
        <v>386</v>
      </c>
      <c r="C42" s="47"/>
      <c r="D42" s="47"/>
      <c r="E42" s="47"/>
      <c r="F42" s="47">
        <f t="shared" si="0"/>
        <v>0</v>
      </c>
    </row>
    <row r="43" ht="68" spans="1:6">
      <c r="A43" s="47" t="s">
        <v>387</v>
      </c>
      <c r="B43" s="47" t="s">
        <v>124</v>
      </c>
      <c r="C43" s="47" t="s">
        <v>104</v>
      </c>
      <c r="D43" s="47">
        <v>1</v>
      </c>
      <c r="E43" s="47"/>
      <c r="F43" s="47">
        <f t="shared" si="0"/>
        <v>0</v>
      </c>
    </row>
    <row r="44" ht="68" spans="1:6">
      <c r="A44" s="47" t="s">
        <v>388</v>
      </c>
      <c r="B44" s="47" t="s">
        <v>126</v>
      </c>
      <c r="C44" s="47" t="s">
        <v>104</v>
      </c>
      <c r="D44" s="47">
        <v>3</v>
      </c>
      <c r="E44" s="48"/>
      <c r="F44" s="47">
        <f t="shared" si="0"/>
        <v>0</v>
      </c>
    </row>
    <row r="45" ht="51" spans="1:6">
      <c r="A45" s="47" t="s">
        <v>389</v>
      </c>
      <c r="B45" s="47" t="s">
        <v>128</v>
      </c>
      <c r="C45" s="47" t="s">
        <v>104</v>
      </c>
      <c r="D45" s="47">
        <v>12</v>
      </c>
      <c r="E45" s="48"/>
      <c r="F45" s="47">
        <f t="shared" si="0"/>
        <v>0</v>
      </c>
    </row>
    <row r="46" ht="68" spans="1:6">
      <c r="A46" s="47" t="s">
        <v>390</v>
      </c>
      <c r="B46" s="47" t="s">
        <v>129</v>
      </c>
      <c r="C46" s="47" t="s">
        <v>18</v>
      </c>
      <c r="D46" s="47">
        <v>1</v>
      </c>
      <c r="E46" s="48"/>
      <c r="F46" s="47">
        <f t="shared" si="0"/>
        <v>0</v>
      </c>
    </row>
    <row r="47" spans="1:6">
      <c r="A47" s="54"/>
      <c r="B47" s="48"/>
      <c r="C47" s="54"/>
      <c r="D47" s="54"/>
      <c r="E47" s="54"/>
      <c r="F47" s="54"/>
    </row>
    <row r="48" spans="1:6">
      <c r="A48" s="54"/>
      <c r="B48" s="48"/>
      <c r="C48" s="54"/>
      <c r="D48" s="54"/>
      <c r="E48" s="54" t="s">
        <v>43</v>
      </c>
      <c r="F48" s="50">
        <f>SUM(F7:F46)</f>
        <v>0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6"/>
  <sheetViews>
    <sheetView zoomScale="70" zoomScaleNormal="70" topLeftCell="B1" workbookViewId="0">
      <selection activeCell="E10" sqref="E10:E55"/>
    </sheetView>
  </sheetViews>
  <sheetFormatPr defaultColWidth="9" defaultRowHeight="16.8" outlineLevelCol="5"/>
  <cols>
    <col min="1" max="1" width="8.8203125" style="38" customWidth="1"/>
    <col min="2" max="2" width="30.6328125" style="1" customWidth="1"/>
    <col min="3" max="3" width="5.3671875" style="38" customWidth="1"/>
    <col min="4" max="4" width="8.3671875" style="38" customWidth="1"/>
    <col min="5" max="5" width="6.3671875" style="38" customWidth="1"/>
    <col min="6" max="6" width="11.8203125" style="39" customWidth="1"/>
  </cols>
  <sheetData>
    <row r="2" ht="17" spans="1:6">
      <c r="A2" s="40" t="s">
        <v>44</v>
      </c>
    </row>
    <row r="4" ht="30.65" customHeight="1" spans="1:6">
      <c r="A4" s="41" t="s">
        <v>391</v>
      </c>
      <c r="B4" s="41"/>
      <c r="C4" s="41"/>
      <c r="D4" s="41"/>
      <c r="E4" s="41"/>
      <c r="F4" s="41"/>
    </row>
    <row r="7" ht="30.65" customHeight="1" spans="1:6">
      <c r="A7" s="42" t="s">
        <v>392</v>
      </c>
      <c r="B7" s="42"/>
      <c r="C7" s="42"/>
      <c r="D7" s="42"/>
      <c r="E7" s="42"/>
      <c r="F7" s="42"/>
    </row>
    <row r="9" ht="34" spans="1:6">
      <c r="A9" s="14" t="s">
        <v>3</v>
      </c>
      <c r="B9" s="14" t="s">
        <v>4</v>
      </c>
      <c r="C9" s="14" t="s">
        <v>5</v>
      </c>
      <c r="D9" s="14" t="s">
        <v>6</v>
      </c>
      <c r="E9" s="14" t="s">
        <v>7</v>
      </c>
      <c r="F9" s="43" t="s">
        <v>8</v>
      </c>
    </row>
    <row r="10" ht="34" spans="1:6">
      <c r="A10" s="14">
        <v>6.1</v>
      </c>
      <c r="B10" s="14" t="s">
        <v>393</v>
      </c>
      <c r="C10" s="9"/>
      <c r="D10" s="9"/>
      <c r="E10" s="9"/>
      <c r="F10" s="44"/>
    </row>
    <row r="11" ht="51" spans="1:6">
      <c r="A11" s="9" t="s">
        <v>394</v>
      </c>
      <c r="B11" s="9" t="s">
        <v>395</v>
      </c>
      <c r="C11" s="9" t="s">
        <v>52</v>
      </c>
      <c r="D11" s="9">
        <v>18.4</v>
      </c>
      <c r="E11" s="45"/>
      <c r="F11" s="44">
        <f>D11*E11</f>
        <v>0</v>
      </c>
    </row>
    <row r="12" ht="68" spans="1:6">
      <c r="A12" s="9" t="s">
        <v>396</v>
      </c>
      <c r="B12" s="9" t="s">
        <v>397</v>
      </c>
      <c r="C12" s="9" t="s">
        <v>52</v>
      </c>
      <c r="D12" s="9">
        <v>54.6</v>
      </c>
      <c r="E12" s="45"/>
      <c r="F12" s="44">
        <f t="shared" ref="F12:F55" si="0">D12*E12</f>
        <v>0</v>
      </c>
    </row>
    <row r="13" ht="68" spans="1:6">
      <c r="A13" s="9" t="s">
        <v>398</v>
      </c>
      <c r="B13" s="9" t="s">
        <v>399</v>
      </c>
      <c r="C13" s="9" t="s">
        <v>52</v>
      </c>
      <c r="D13" s="9">
        <v>11.2</v>
      </c>
      <c r="E13" s="45"/>
      <c r="F13" s="44">
        <f t="shared" si="0"/>
        <v>0</v>
      </c>
    </row>
    <row r="14" ht="68" spans="1:6">
      <c r="A14" s="9" t="s">
        <v>400</v>
      </c>
      <c r="B14" s="9" t="s">
        <v>401</v>
      </c>
      <c r="C14" s="9" t="s">
        <v>29</v>
      </c>
      <c r="D14" s="9">
        <v>74.5</v>
      </c>
      <c r="E14" s="45"/>
      <c r="F14" s="44">
        <f t="shared" si="0"/>
        <v>0</v>
      </c>
    </row>
    <row r="15" ht="34" spans="1:6">
      <c r="A15" s="14">
        <v>6.2</v>
      </c>
      <c r="B15" s="14" t="s">
        <v>402</v>
      </c>
      <c r="C15" s="9"/>
      <c r="D15" s="9"/>
      <c r="E15" s="9"/>
      <c r="F15" s="44">
        <f t="shared" si="0"/>
        <v>0</v>
      </c>
    </row>
    <row r="16" ht="51" spans="1:6">
      <c r="A16" s="9" t="s">
        <v>403</v>
      </c>
      <c r="B16" s="9" t="s">
        <v>404</v>
      </c>
      <c r="C16" s="9" t="s">
        <v>52</v>
      </c>
      <c r="D16" s="9">
        <f>178.6*0.6*0.05</f>
        <v>5.358</v>
      </c>
      <c r="E16" s="45"/>
      <c r="F16" s="44">
        <f t="shared" si="0"/>
        <v>0</v>
      </c>
    </row>
    <row r="17" ht="68" spans="1:6">
      <c r="A17" s="9" t="s">
        <v>405</v>
      </c>
      <c r="B17" s="9" t="s">
        <v>406</v>
      </c>
      <c r="C17" s="9" t="s">
        <v>52</v>
      </c>
      <c r="D17" s="9">
        <f>178.6*0.6*0.3</f>
        <v>32.148</v>
      </c>
      <c r="E17" s="45"/>
      <c r="F17" s="44">
        <f t="shared" si="0"/>
        <v>0</v>
      </c>
    </row>
    <row r="18" ht="84" spans="1:6">
      <c r="A18" s="9" t="s">
        <v>407</v>
      </c>
      <c r="B18" s="9" t="s">
        <v>408</v>
      </c>
      <c r="C18" s="9" t="s">
        <v>52</v>
      </c>
      <c r="D18" s="9">
        <f>(178.6*0.4*0.2*2)+(32.6*0.15)</f>
        <v>33.466</v>
      </c>
      <c r="E18" s="45"/>
      <c r="F18" s="44">
        <f t="shared" si="0"/>
        <v>0</v>
      </c>
    </row>
    <row r="19" ht="51" spans="1:6">
      <c r="A19" s="9" t="s">
        <v>409</v>
      </c>
      <c r="B19" s="9" t="s">
        <v>410</v>
      </c>
      <c r="C19" s="9" t="s">
        <v>69</v>
      </c>
      <c r="D19" s="46">
        <v>2120</v>
      </c>
      <c r="E19" s="45"/>
      <c r="F19" s="44">
        <f t="shared" si="0"/>
        <v>0</v>
      </c>
    </row>
    <row r="20" ht="51" spans="1:6">
      <c r="A20" s="9" t="s">
        <v>411</v>
      </c>
      <c r="B20" s="9" t="s">
        <v>412</v>
      </c>
      <c r="C20" s="9" t="s">
        <v>29</v>
      </c>
      <c r="D20" s="9">
        <v>74.5</v>
      </c>
      <c r="E20" s="45"/>
      <c r="F20" s="44">
        <f t="shared" si="0"/>
        <v>0</v>
      </c>
    </row>
    <row r="21" ht="68" spans="1:6">
      <c r="A21" s="9" t="s">
        <v>413</v>
      </c>
      <c r="B21" s="9" t="s">
        <v>348</v>
      </c>
      <c r="C21" s="9" t="s">
        <v>29</v>
      </c>
      <c r="D21" s="9">
        <v>86.4</v>
      </c>
      <c r="E21" s="45"/>
      <c r="F21" s="44">
        <f t="shared" si="0"/>
        <v>0</v>
      </c>
    </row>
    <row r="22" ht="34" spans="1:6">
      <c r="A22" s="14">
        <v>6.3</v>
      </c>
      <c r="B22" s="14" t="s">
        <v>414</v>
      </c>
      <c r="C22" s="9"/>
      <c r="D22" s="9"/>
      <c r="E22" s="9"/>
      <c r="F22" s="44">
        <f t="shared" si="0"/>
        <v>0</v>
      </c>
    </row>
    <row r="23" ht="68" spans="1:6">
      <c r="A23" s="9" t="s">
        <v>415</v>
      </c>
      <c r="B23" s="9" t="s">
        <v>416</v>
      </c>
      <c r="C23" s="9" t="s">
        <v>29</v>
      </c>
      <c r="D23" s="9">
        <v>264</v>
      </c>
      <c r="E23" s="9"/>
      <c r="F23" s="44">
        <f t="shared" si="0"/>
        <v>0</v>
      </c>
    </row>
    <row r="24" ht="69" customHeight="1" spans="1:6">
      <c r="A24" s="9" t="s">
        <v>417</v>
      </c>
      <c r="B24" s="9" t="s">
        <v>418</v>
      </c>
      <c r="C24" s="9" t="s">
        <v>52</v>
      </c>
      <c r="D24" s="9">
        <v>7.2</v>
      </c>
      <c r="E24" s="9"/>
      <c r="F24" s="44">
        <f t="shared" si="0"/>
        <v>0</v>
      </c>
    </row>
    <row r="25" ht="51" spans="1:6">
      <c r="A25" s="9" t="s">
        <v>419</v>
      </c>
      <c r="B25" s="9" t="s">
        <v>420</v>
      </c>
      <c r="C25" s="9" t="s">
        <v>29</v>
      </c>
      <c r="D25" s="9">
        <v>118</v>
      </c>
      <c r="E25" s="9"/>
      <c r="F25" s="44">
        <f t="shared" si="0"/>
        <v>0</v>
      </c>
    </row>
    <row r="26" ht="51" spans="1:6">
      <c r="A26" s="9" t="s">
        <v>421</v>
      </c>
      <c r="B26" s="9" t="s">
        <v>422</v>
      </c>
      <c r="C26" s="9" t="s">
        <v>69</v>
      </c>
      <c r="D26" s="9">
        <v>815</v>
      </c>
      <c r="E26" s="9"/>
      <c r="F26" s="44">
        <f t="shared" si="0"/>
        <v>0</v>
      </c>
    </row>
    <row r="27" ht="84" spans="1:6">
      <c r="A27" s="9" t="s">
        <v>423</v>
      </c>
      <c r="B27" s="9" t="s">
        <v>424</v>
      </c>
      <c r="C27" s="9" t="s">
        <v>39</v>
      </c>
      <c r="D27" s="9">
        <v>120</v>
      </c>
      <c r="E27" s="9"/>
      <c r="F27" s="44">
        <f t="shared" si="0"/>
        <v>0</v>
      </c>
    </row>
    <row r="28" ht="34" spans="1:6">
      <c r="A28" s="14">
        <v>6.4</v>
      </c>
      <c r="B28" s="14" t="s">
        <v>425</v>
      </c>
      <c r="C28" s="9"/>
      <c r="D28" s="9"/>
      <c r="E28" s="9"/>
      <c r="F28" s="44">
        <f t="shared" si="0"/>
        <v>0</v>
      </c>
    </row>
    <row r="29" ht="68" spans="1:6">
      <c r="A29" s="9" t="s">
        <v>426</v>
      </c>
      <c r="B29" s="9" t="s">
        <v>427</v>
      </c>
      <c r="C29" s="9" t="s">
        <v>29</v>
      </c>
      <c r="D29" s="9">
        <v>142.5</v>
      </c>
      <c r="E29" s="9"/>
      <c r="F29" s="44">
        <f t="shared" si="0"/>
        <v>0</v>
      </c>
    </row>
    <row r="30" ht="51" spans="1:6">
      <c r="A30" s="9" t="s">
        <v>428</v>
      </c>
      <c r="B30" s="9" t="s">
        <v>429</v>
      </c>
      <c r="C30" s="9" t="s">
        <v>52</v>
      </c>
      <c r="D30" s="9">
        <v>4.1</v>
      </c>
      <c r="E30" s="9"/>
      <c r="F30" s="44">
        <f t="shared" si="0"/>
        <v>0</v>
      </c>
    </row>
    <row r="31" ht="34" spans="1:6">
      <c r="A31" s="14">
        <v>6.5</v>
      </c>
      <c r="B31" s="14" t="s">
        <v>430</v>
      </c>
      <c r="C31" s="9"/>
      <c r="D31" s="9"/>
      <c r="E31" s="9"/>
      <c r="F31" s="44">
        <f t="shared" si="0"/>
        <v>0</v>
      </c>
    </row>
    <row r="32" ht="68" spans="1:6">
      <c r="A32" s="9" t="s">
        <v>431</v>
      </c>
      <c r="B32" s="47" t="s">
        <v>168</v>
      </c>
      <c r="C32" s="9" t="s">
        <v>29</v>
      </c>
      <c r="D32" s="9">
        <v>68.4</v>
      </c>
      <c r="E32" s="48"/>
      <c r="F32" s="44">
        <f t="shared" si="0"/>
        <v>0</v>
      </c>
    </row>
    <row r="33" ht="118" spans="1:6">
      <c r="A33" s="9" t="s">
        <v>432</v>
      </c>
      <c r="B33" s="47" t="s">
        <v>94</v>
      </c>
      <c r="C33" s="9" t="s">
        <v>29</v>
      </c>
      <c r="D33" s="9">
        <v>68.4</v>
      </c>
      <c r="E33" s="48"/>
      <c r="F33" s="44">
        <f t="shared" si="0"/>
        <v>0</v>
      </c>
    </row>
    <row r="34" ht="34" spans="1:6">
      <c r="A34" s="14">
        <v>6.6</v>
      </c>
      <c r="B34" s="14" t="s">
        <v>433</v>
      </c>
      <c r="C34" s="9"/>
      <c r="D34" s="9"/>
      <c r="E34" s="45"/>
      <c r="F34" s="44">
        <f t="shared" si="0"/>
        <v>0</v>
      </c>
    </row>
    <row r="35" ht="101" spans="1:6">
      <c r="A35" s="9" t="s">
        <v>434</v>
      </c>
      <c r="B35" s="9" t="s">
        <v>435</v>
      </c>
      <c r="C35" s="9" t="s">
        <v>104</v>
      </c>
      <c r="D35" s="9">
        <v>1</v>
      </c>
      <c r="E35" s="45"/>
      <c r="F35" s="44">
        <f t="shared" si="0"/>
        <v>0</v>
      </c>
    </row>
    <row r="36" ht="68" spans="1:6">
      <c r="A36" s="9" t="s">
        <v>436</v>
      </c>
      <c r="B36" s="9" t="s">
        <v>437</v>
      </c>
      <c r="C36" s="9" t="s">
        <v>104</v>
      </c>
      <c r="D36" s="9">
        <v>1</v>
      </c>
      <c r="E36" s="45"/>
      <c r="F36" s="44">
        <f t="shared" si="0"/>
        <v>0</v>
      </c>
    </row>
    <row r="37" ht="51" spans="1:6">
      <c r="A37" s="9" t="s">
        <v>438</v>
      </c>
      <c r="B37" s="9" t="s">
        <v>439</v>
      </c>
      <c r="C37" s="9" t="s">
        <v>104</v>
      </c>
      <c r="D37" s="9">
        <v>9</v>
      </c>
      <c r="E37" s="45"/>
      <c r="F37" s="44">
        <f t="shared" si="0"/>
        <v>0</v>
      </c>
    </row>
    <row r="38" ht="51" spans="1:6">
      <c r="A38" s="9" t="s">
        <v>440</v>
      </c>
      <c r="B38" s="9" t="s">
        <v>441</v>
      </c>
      <c r="C38" s="9" t="s">
        <v>18</v>
      </c>
      <c r="D38" s="9">
        <v>1</v>
      </c>
      <c r="E38" s="45"/>
      <c r="F38" s="44">
        <f t="shared" si="0"/>
        <v>0</v>
      </c>
    </row>
    <row r="39" ht="17" spans="1:6">
      <c r="A39" s="14">
        <v>6.7</v>
      </c>
      <c r="B39" s="14" t="s">
        <v>442</v>
      </c>
      <c r="C39" s="9"/>
      <c r="D39" s="9"/>
      <c r="E39" s="9"/>
      <c r="F39" s="44">
        <f t="shared" si="0"/>
        <v>0</v>
      </c>
    </row>
    <row r="40" ht="51" spans="1:6">
      <c r="A40" s="9" t="s">
        <v>443</v>
      </c>
      <c r="B40" s="9" t="s">
        <v>444</v>
      </c>
      <c r="C40" s="9" t="s">
        <v>29</v>
      </c>
      <c r="D40" s="9">
        <v>315</v>
      </c>
      <c r="E40" s="45"/>
      <c r="F40" s="44">
        <f t="shared" si="0"/>
        <v>0</v>
      </c>
    </row>
    <row r="41" ht="68" spans="1:6">
      <c r="A41" s="9" t="s">
        <v>445</v>
      </c>
      <c r="B41" s="9" t="s">
        <v>446</v>
      </c>
      <c r="C41" s="9" t="s">
        <v>29</v>
      </c>
      <c r="D41" s="9">
        <v>412</v>
      </c>
      <c r="E41" s="45"/>
      <c r="F41" s="44">
        <f t="shared" si="0"/>
        <v>0</v>
      </c>
    </row>
    <row r="42" ht="51" spans="1:6">
      <c r="A42" s="9" t="s">
        <v>447</v>
      </c>
      <c r="B42" s="9" t="s">
        <v>448</v>
      </c>
      <c r="C42" s="9" t="s">
        <v>29</v>
      </c>
      <c r="D42" s="9">
        <v>102.6</v>
      </c>
      <c r="E42" s="45"/>
      <c r="F42" s="44">
        <f t="shared" si="0"/>
        <v>0</v>
      </c>
    </row>
    <row r="43" ht="68" spans="1:6">
      <c r="A43" s="9" t="s">
        <v>449</v>
      </c>
      <c r="B43" s="9" t="s">
        <v>187</v>
      </c>
      <c r="C43" s="9" t="s">
        <v>29</v>
      </c>
      <c r="D43" s="9">
        <v>58.2</v>
      </c>
      <c r="E43" s="45"/>
      <c r="F43" s="44">
        <f t="shared" si="0"/>
        <v>0</v>
      </c>
    </row>
    <row r="44" ht="68" spans="1:6">
      <c r="A44" s="9" t="s">
        <v>450</v>
      </c>
      <c r="B44" s="9" t="s">
        <v>451</v>
      </c>
      <c r="C44" s="9" t="s">
        <v>29</v>
      </c>
      <c r="D44" s="9">
        <v>412</v>
      </c>
      <c r="E44" s="45"/>
      <c r="F44" s="44">
        <f t="shared" si="0"/>
        <v>0</v>
      </c>
    </row>
    <row r="45" ht="54" customHeight="1" spans="1:6">
      <c r="A45" s="9" t="s">
        <v>452</v>
      </c>
      <c r="B45" s="9" t="s">
        <v>453</v>
      </c>
      <c r="C45" s="9" t="s">
        <v>29</v>
      </c>
      <c r="D45" s="9">
        <v>212.4</v>
      </c>
      <c r="E45" s="48"/>
      <c r="F45" s="44">
        <f t="shared" si="0"/>
        <v>0</v>
      </c>
    </row>
    <row r="46" ht="34" spans="1:6">
      <c r="A46" s="14">
        <v>6.8</v>
      </c>
      <c r="B46" s="14" t="s">
        <v>454</v>
      </c>
      <c r="C46" s="9"/>
      <c r="D46" s="9"/>
      <c r="E46" s="9"/>
      <c r="F46" s="44">
        <f t="shared" si="0"/>
        <v>0</v>
      </c>
    </row>
    <row r="47" ht="68" spans="1:6">
      <c r="A47" s="9" t="s">
        <v>455</v>
      </c>
      <c r="B47" s="9" t="s">
        <v>456</v>
      </c>
      <c r="C47" s="9" t="s">
        <v>18</v>
      </c>
      <c r="D47" s="9">
        <v>1</v>
      </c>
      <c r="E47" s="9"/>
      <c r="F47" s="44">
        <f t="shared" si="0"/>
        <v>0</v>
      </c>
    </row>
    <row r="48" ht="84" spans="1:6">
      <c r="A48" s="9" t="s">
        <v>457</v>
      </c>
      <c r="B48" s="9" t="s">
        <v>458</v>
      </c>
      <c r="C48" s="9" t="s">
        <v>18</v>
      </c>
      <c r="D48" s="9">
        <v>1</v>
      </c>
      <c r="E48" s="9"/>
      <c r="F48" s="44">
        <f t="shared" si="0"/>
        <v>0</v>
      </c>
    </row>
    <row r="49" ht="68" spans="1:6">
      <c r="A49" s="9" t="s">
        <v>459</v>
      </c>
      <c r="B49" s="9" t="s">
        <v>460</v>
      </c>
      <c r="C49" s="9" t="s">
        <v>104</v>
      </c>
      <c r="D49" s="9">
        <v>1</v>
      </c>
      <c r="E49" s="9"/>
      <c r="F49" s="44">
        <f t="shared" si="0"/>
        <v>0</v>
      </c>
    </row>
    <row r="50" ht="34" spans="1:6">
      <c r="A50" s="14">
        <v>6.9</v>
      </c>
      <c r="B50" s="14" t="s">
        <v>461</v>
      </c>
      <c r="C50" s="9"/>
      <c r="D50" s="9"/>
      <c r="E50" s="9"/>
      <c r="F50" s="44">
        <f t="shared" si="0"/>
        <v>0</v>
      </c>
    </row>
    <row r="51" ht="34" spans="1:6">
      <c r="A51" s="9" t="s">
        <v>462</v>
      </c>
      <c r="B51" s="14" t="s">
        <v>122</v>
      </c>
      <c r="C51" s="14"/>
      <c r="D51" s="9"/>
      <c r="E51" s="9"/>
      <c r="F51" s="44">
        <f t="shared" si="0"/>
        <v>0</v>
      </c>
    </row>
    <row r="52" ht="51" spans="1:6">
      <c r="A52" s="9" t="s">
        <v>463</v>
      </c>
      <c r="B52" s="9" t="s">
        <v>124</v>
      </c>
      <c r="C52" s="9" t="s">
        <v>104</v>
      </c>
      <c r="D52" s="9">
        <v>9</v>
      </c>
      <c r="E52" s="9"/>
      <c r="F52" s="44">
        <f t="shared" si="0"/>
        <v>0</v>
      </c>
    </row>
    <row r="53" ht="68" spans="1:6">
      <c r="A53" s="9" t="s">
        <v>464</v>
      </c>
      <c r="B53" s="9" t="s">
        <v>126</v>
      </c>
      <c r="C53" s="9" t="s">
        <v>104</v>
      </c>
      <c r="D53" s="9">
        <v>3</v>
      </c>
      <c r="E53" s="9"/>
      <c r="F53" s="44">
        <f t="shared" si="0"/>
        <v>0</v>
      </c>
    </row>
    <row r="54" ht="51" spans="1:6">
      <c r="A54" s="9" t="s">
        <v>465</v>
      </c>
      <c r="B54" s="9" t="s">
        <v>128</v>
      </c>
      <c r="C54" s="9" t="s">
        <v>104</v>
      </c>
      <c r="D54" s="9">
        <v>9</v>
      </c>
      <c r="E54" s="9"/>
      <c r="F54" s="44">
        <f t="shared" si="0"/>
        <v>0</v>
      </c>
    </row>
    <row r="55" ht="68" spans="1:6">
      <c r="A55" s="49"/>
      <c r="B55" s="9" t="s">
        <v>129</v>
      </c>
      <c r="C55" s="9" t="s">
        <v>18</v>
      </c>
      <c r="D55" s="47">
        <v>1</v>
      </c>
      <c r="E55" s="47"/>
      <c r="F55" s="50">
        <f t="shared" si="0"/>
        <v>0</v>
      </c>
    </row>
    <row r="56" spans="1:6">
      <c r="A56" s="49"/>
      <c r="B56" s="45"/>
      <c r="C56" s="49"/>
      <c r="D56" s="49"/>
      <c r="E56" s="49" t="s">
        <v>43</v>
      </c>
      <c r="F56" s="50">
        <f>SUM(F11:F55)</f>
        <v>0</v>
      </c>
    </row>
  </sheetData>
  <mergeCells count="2">
    <mergeCell ref="A4:F4"/>
    <mergeCell ref="A7:F7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zoomScale="88" zoomScaleNormal="88" workbookViewId="0">
      <selection activeCell="F18" sqref="F18"/>
    </sheetView>
  </sheetViews>
  <sheetFormatPr defaultColWidth="9" defaultRowHeight="16.8"/>
  <cols>
    <col min="1" max="1" width="17.6328125" customWidth="1"/>
    <col min="2" max="2" width="36.90625" style="1" customWidth="1"/>
    <col min="3" max="3" width="18.546875" customWidth="1"/>
    <col min="4" max="4" width="23" customWidth="1"/>
    <col min="7" max="7" width="12.3671875" customWidth="1"/>
    <col min="8" max="8" width="15.8203125" customWidth="1"/>
    <col min="9" max="10" width="12.3671875" customWidth="1"/>
  </cols>
  <sheetData>
    <row r="1" ht="20" spans="1:9">
      <c r="A1" s="2" t="s">
        <v>466</v>
      </c>
    </row>
    <row r="3" ht="17" spans="1:9">
      <c r="A3" s="3" t="s">
        <v>44</v>
      </c>
    </row>
    <row r="5" ht="20" spans="1:9">
      <c r="A5" s="2" t="s">
        <v>467</v>
      </c>
    </row>
    <row r="6" ht="17.55"/>
    <row r="7" ht="17" spans="1:9">
      <c r="A7" s="4" t="s">
        <v>468</v>
      </c>
      <c r="B7" s="5" t="s">
        <v>4</v>
      </c>
      <c r="C7" s="6" t="s">
        <v>469</v>
      </c>
      <c r="D7" s="7" t="s">
        <v>8</v>
      </c>
    </row>
    <row r="8" ht="34" spans="1:9">
      <c r="A8" s="8" t="s">
        <v>470</v>
      </c>
      <c r="B8" s="9" t="s">
        <v>471</v>
      </c>
      <c r="C8" s="10" t="s">
        <v>472</v>
      </c>
      <c r="D8" s="11">
        <f>'Bill No.0.0 Prelim&amp;demolition'!F26</f>
        <v>0</v>
      </c>
    </row>
    <row r="9" ht="17" spans="1:9">
      <c r="A9" s="8" t="s">
        <v>473</v>
      </c>
      <c r="B9" s="9" t="s">
        <v>474</v>
      </c>
      <c r="C9" s="10" t="s">
        <v>475</v>
      </c>
      <c r="D9" s="11">
        <f>'BILL NO.01  MAIN WARDS BLOCK'!F51</f>
        <v>0</v>
      </c>
    </row>
    <row r="10" ht="34" spans="1:9">
      <c r="A10" s="8" t="s">
        <v>476</v>
      </c>
      <c r="B10" s="9" t="s">
        <v>477</v>
      </c>
      <c r="C10" s="10" t="s">
        <v>478</v>
      </c>
      <c r="D10" s="11">
        <f>'BILL No. 02 OPD'!F44</f>
        <v>0</v>
      </c>
    </row>
    <row r="11" ht="17" spans="1:9">
      <c r="A11" s="8" t="s">
        <v>479</v>
      </c>
      <c r="B11" s="9" t="s">
        <v>480</v>
      </c>
      <c r="C11" s="10" t="s">
        <v>481</v>
      </c>
      <c r="D11" s="11">
        <f>'Bill No. 03 MATERNITY'!F47</f>
        <v>0</v>
      </c>
    </row>
    <row r="12" ht="34" spans="1:9">
      <c r="A12" s="8" t="s">
        <v>482</v>
      </c>
      <c r="B12" s="9" t="s">
        <v>483</v>
      </c>
      <c r="C12" s="10" t="s">
        <v>484</v>
      </c>
      <c r="D12" s="11">
        <f>'Bill No. 04 EMERGENCY AND'!F47</f>
        <v>0</v>
      </c>
    </row>
    <row r="13" ht="17" spans="1:9">
      <c r="A13" s="8" t="s">
        <v>485</v>
      </c>
      <c r="B13" s="9" t="s">
        <v>486</v>
      </c>
      <c r="C13" s="10" t="s">
        <v>487</v>
      </c>
      <c r="D13" s="11">
        <f>'BILL No. 05 RESTAURANT AND SECU'!F48</f>
        <v>0</v>
      </c>
    </row>
    <row r="14" ht="34" spans="1:9">
      <c r="A14" s="8" t="s">
        <v>488</v>
      </c>
      <c r="B14" s="9" t="s">
        <v>489</v>
      </c>
      <c r="C14" s="10" t="s">
        <v>490</v>
      </c>
      <c r="D14" s="11">
        <f>'Bill NO. 06  EXTERNAL WORKS'!F56</f>
        <v>0</v>
      </c>
    </row>
    <row r="15" spans="1:9">
      <c r="A15" s="12"/>
      <c r="B15" s="9"/>
      <c r="C15" s="10"/>
      <c r="D15" s="13"/>
    </row>
    <row r="16" ht="34" spans="1:9">
      <c r="A16" s="8" t="s">
        <v>491</v>
      </c>
      <c r="B16" s="14" t="s">
        <v>492</v>
      </c>
      <c r="C16" s="10"/>
      <c r="D16" s="15">
        <f>SUM(D8:D14)</f>
        <v>0</v>
      </c>
      <c r="I16" s="16"/>
    </row>
    <row r="17" spans="1:10">
      <c r="A17" s="12"/>
      <c r="B17" s="9"/>
      <c r="C17" s="10"/>
      <c r="D17" s="13"/>
    </row>
    <row r="18" ht="17" spans="1:10">
      <c r="A18" s="8" t="s">
        <v>493</v>
      </c>
      <c r="B18" s="9"/>
      <c r="C18" s="10"/>
      <c r="D18" s="13"/>
      <c r="J18" s="17"/>
    </row>
    <row r="19" ht="34" spans="1:10">
      <c r="A19" s="12" t="s">
        <v>494</v>
      </c>
      <c r="B19" s="18" t="s">
        <v>495</v>
      </c>
      <c r="C19" s="10" t="s">
        <v>496</v>
      </c>
      <c r="D19" s="19"/>
    </row>
    <row r="20" spans="1:10">
      <c r="A20" s="12"/>
      <c r="B20" s="9"/>
      <c r="C20" s="10"/>
      <c r="D20" s="13"/>
      <c r="H20" s="20"/>
    </row>
    <row r="21" ht="34.75" spans="1:10">
      <c r="A21" s="21" t="s">
        <v>497</v>
      </c>
      <c r="B21" s="22" t="s">
        <v>498</v>
      </c>
      <c r="C21" s="23"/>
      <c r="D21" s="24">
        <f>D16</f>
        <v>0</v>
      </c>
      <c r="G21" s="16"/>
    </row>
    <row r="22" ht="17" spans="1:10">
      <c r="A22" s="25" t="s">
        <v>499</v>
      </c>
      <c r="B22" s="26"/>
      <c r="C22" s="27"/>
      <c r="D22" s="28"/>
    </row>
    <row r="23" spans="1:10">
      <c r="A23" s="29"/>
      <c r="B23" s="30"/>
      <c r="C23" s="31"/>
      <c r="D23" s="32"/>
    </row>
    <row r="24" ht="17" spans="1:10">
      <c r="A24" s="33" t="s">
        <v>500</v>
      </c>
      <c r="B24" s="30"/>
      <c r="C24" s="31"/>
      <c r="D24" s="32"/>
    </row>
    <row r="25" spans="1:10">
      <c r="A25" s="29"/>
      <c r="B25" s="30"/>
      <c r="C25" s="31"/>
      <c r="D25" s="32"/>
    </row>
    <row r="26" ht="17" spans="1:10">
      <c r="A26" s="33" t="s">
        <v>501</v>
      </c>
      <c r="B26" s="30"/>
      <c r="C26" s="31"/>
      <c r="D26" s="32"/>
    </row>
    <row r="27" spans="1:10">
      <c r="A27" s="29"/>
      <c r="B27" s="30"/>
      <c r="C27" s="31"/>
      <c r="D27" s="32"/>
    </row>
    <row r="28" ht="17" spans="1:10">
      <c r="A28" s="33" t="s">
        <v>502</v>
      </c>
      <c r="B28" s="30"/>
      <c r="C28" s="31"/>
      <c r="D28" s="32"/>
    </row>
    <row r="29" ht="17.55" spans="1:10">
      <c r="A29" s="34"/>
      <c r="B29" s="35"/>
      <c r="C29" s="36"/>
      <c r="D29" s="37"/>
    </row>
  </sheetData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Bill No.0.0 Prelim&amp;demolition</vt:lpstr>
      <vt:lpstr>BILL NO.01  MAIN WARDS BLOCK</vt:lpstr>
      <vt:lpstr>BILL No. 02 OPD</vt:lpstr>
      <vt:lpstr>Bill No. 03 MATERNITY</vt:lpstr>
      <vt:lpstr>Bill No. 04 EMERGENCY AND</vt:lpstr>
      <vt:lpstr>BILL No. 05 RESTAURANT AND SECU</vt:lpstr>
      <vt:lpstr>Bill NO. 06  EXTERNAL WORKS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Abdiqayum</dc:creator>
  <cp:lastModifiedBy>abdirazakali</cp:lastModifiedBy>
  <dcterms:created xsi:type="dcterms:W3CDTF">2026-05-24T05:42:00Z</dcterms:created>
  <cp:lastPrinted>2026-06-03T13:24:00Z</cp:lastPrinted>
  <dcterms:modified xsi:type="dcterms:W3CDTF">2026-06-26T10:37:55Z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74D9FE3C2CA16221532C3E6A72541E14_42</vt:lpwstr>
  </property>
  <property fmtid="{D5CDD505-2E9C-101B-9397-08002B2CF9AE}" pid="3" name="KSOProductBuildVer">
    <vt:lpwstr>1033-12.1.25898.25898</vt:lpwstr>
  </property>
  <property fmtid="{D5CDD505-2E9C-101B-9397-08002B2CF9AE}" pid="4" name="CalculationRule">
    <vt:i4>0</vt:i4>
  </property>
</Properties>
</file>