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nisfoundation-my.sharepoint.com/personal/eng13_somalia_nis-foundation_org/Documents/Desktop/NIS/RNE/PROSPERIS/Lascanod/"/>
    </mc:Choice>
  </mc:AlternateContent>
  <xr:revisionPtr revIDLastSave="0" documentId="8_{4BC978CF-2DCE-4203-97E2-1B1BD77825F2}" xr6:coauthVersionLast="47" xr6:coauthVersionMax="47" xr10:uidLastSave="{00000000-0000-0000-0000-000000000000}"/>
  <bookViews>
    <workbookView xWindow="28680" yWindow="-120" windowWidth="29040" windowHeight="15720" tabRatio="907" xr2:uid="{00000000-000D-0000-FFFF-FFFF00000000}"/>
  </bookViews>
  <sheets>
    <sheet name="Summary" sheetId="10" r:id="rId1"/>
    <sheet name="Bill nr 1-Intensive care unit" sheetId="8" r:id="rId2"/>
    <sheet name="Bill nr 2-outpateint department" sheetId="2" r:id="rId3"/>
    <sheet name="Bill nr 3-Dialysis ward" sheetId="7" r:id="rId4"/>
    <sheet name="Bill nr 4-blood bank ward" sheetId="6" r:id="rId5"/>
    <sheet name="Bill nr 5-Hospital canteen" sheetId="5" r:id="rId6"/>
    <sheet name="Bill nr 6-Mortuary room" sheetId="11" r:id="rId7"/>
    <sheet name="Bill nr 7-Rehabilitation works" sheetId="12"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5" i="12" l="1"/>
  <c r="D37" i="12"/>
  <c r="D35" i="12"/>
  <c r="D31" i="12"/>
  <c r="D18" i="12"/>
  <c r="D12" i="12"/>
  <c r="D8" i="12"/>
  <c r="D63" i="11"/>
  <c r="D50" i="11"/>
  <c r="D46" i="11"/>
  <c r="D45" i="11"/>
  <c r="D40" i="11"/>
  <c r="D38" i="11"/>
  <c r="D29" i="11"/>
  <c r="D28" i="11"/>
  <c r="D27" i="11"/>
  <c r="D24" i="11"/>
  <c r="D20" i="11"/>
  <c r="D11" i="11"/>
  <c r="F59" i="11"/>
  <c r="D109" i="6"/>
  <c r="D108" i="6"/>
  <c r="D111" i="5"/>
  <c r="D110" i="5"/>
  <c r="D117" i="2"/>
  <c r="D116" i="2"/>
  <c r="D110" i="8"/>
  <c r="D109" i="8"/>
  <c r="F67" i="5"/>
  <c r="D62" i="5"/>
  <c r="D55" i="5"/>
  <c r="D52" i="5"/>
  <c r="D51" i="5"/>
  <c r="D50" i="5"/>
  <c r="D42" i="5"/>
  <c r="D32" i="5"/>
  <c r="D30" i="5"/>
  <c r="D14" i="5"/>
  <c r="D44" i="2" l="1"/>
  <c r="D42" i="7"/>
  <c r="D88" i="6"/>
  <c r="F68" i="6"/>
  <c r="D56" i="6"/>
  <c r="D53" i="6"/>
  <c r="D42" i="6"/>
  <c r="D31" i="6"/>
  <c r="D30" i="6"/>
  <c r="D27" i="6"/>
  <c r="F63" i="7" l="1"/>
  <c r="F64" i="7"/>
  <c r="D65" i="7"/>
  <c r="F65" i="7" s="1"/>
  <c r="F68" i="8"/>
  <c r="D56" i="7" l="1"/>
  <c r="D53" i="7"/>
  <c r="D52" i="7"/>
  <c r="D51" i="7"/>
  <c r="D30" i="7"/>
  <c r="F72" i="2"/>
  <c r="D60" i="2"/>
  <c r="D57" i="2"/>
  <c r="D32" i="6" l="1"/>
  <c r="D14" i="6"/>
  <c r="D34" i="5"/>
  <c r="D34" i="6"/>
  <c r="D34" i="7"/>
  <c r="D72" i="8"/>
  <c r="D14" i="7"/>
  <c r="D92" i="2"/>
  <c r="D56" i="2"/>
  <c r="D48" i="2"/>
  <c r="D15" i="2"/>
  <c r="D34" i="2"/>
  <c r="D32" i="2"/>
  <c r="D31" i="2"/>
  <c r="D28" i="2"/>
  <c r="D56" i="8"/>
  <c r="D14" i="8"/>
  <c r="D85" i="8"/>
  <c r="F85" i="8"/>
  <c r="D15" i="12"/>
  <c r="D13" i="12"/>
  <c r="D10" i="12"/>
  <c r="D31" i="5"/>
  <c r="D27" i="5"/>
  <c r="D23" i="5"/>
  <c r="D72" i="6"/>
  <c r="D52" i="6"/>
  <c r="D51" i="6"/>
  <c r="D23" i="6"/>
  <c r="D32" i="7"/>
  <c r="D31" i="7"/>
  <c r="D27" i="7"/>
  <c r="D23" i="7"/>
  <c r="D67" i="2"/>
  <c r="D33" i="2"/>
  <c r="D54" i="2"/>
  <c r="D36" i="2"/>
  <c r="D24" i="2"/>
  <c r="D63" i="8" l="1"/>
  <c r="D53" i="8"/>
  <c r="D52" i="8"/>
  <c r="D51" i="8"/>
  <c r="D46" i="8"/>
  <c r="D42" i="8"/>
  <c r="D34" i="8"/>
  <c r="F34" i="8" s="1"/>
  <c r="D32" i="8"/>
  <c r="D31" i="8"/>
  <c r="D30" i="8"/>
  <c r="D23" i="8"/>
  <c r="D27" i="8"/>
  <c r="D35" i="5"/>
  <c r="F34" i="5"/>
  <c r="D33" i="5"/>
  <c r="F34" i="6"/>
  <c r="D35" i="6"/>
  <c r="D35" i="7"/>
  <c r="F34" i="7"/>
  <c r="F36" i="2"/>
  <c r="D55" i="2"/>
  <c r="F55" i="2" s="1"/>
  <c r="F33" i="2"/>
  <c r="D29" i="2"/>
  <c r="D16" i="2"/>
  <c r="D35" i="8"/>
  <c r="D33" i="8"/>
  <c r="D15" i="5" l="1"/>
  <c r="D19" i="5" s="1"/>
  <c r="D28" i="5"/>
  <c r="F12" i="12" l="1"/>
  <c r="F31" i="12"/>
  <c r="D16" i="12" l="1"/>
  <c r="D84" i="7" l="1"/>
  <c r="F84" i="7" s="1"/>
  <c r="D83" i="7"/>
  <c r="F44" i="8"/>
  <c r="D95" i="2" l="1"/>
  <c r="D24" i="8"/>
  <c r="D66" i="8"/>
  <c r="D74" i="8"/>
  <c r="D56" i="12" l="1"/>
  <c r="F56" i="12" s="1"/>
  <c r="F55" i="12"/>
  <c r="D54" i="12"/>
  <c r="F54" i="12" s="1"/>
  <c r="D52" i="12"/>
  <c r="F52" i="12" s="1"/>
  <c r="F57" i="12"/>
  <c r="F58" i="12"/>
  <c r="F51" i="12"/>
  <c r="F48" i="12"/>
  <c r="D47" i="12"/>
  <c r="F47" i="12" s="1"/>
  <c r="F45" i="7"/>
  <c r="F43" i="5"/>
  <c r="F44" i="5"/>
  <c r="F44" i="6"/>
  <c r="F44" i="7"/>
  <c r="F46" i="2"/>
  <c r="F43" i="8"/>
  <c r="F45" i="8"/>
  <c r="D41" i="12"/>
  <c r="F41" i="12" s="1"/>
  <c r="F42" i="12"/>
  <c r="F49" i="12" l="1"/>
  <c r="D53" i="12"/>
  <c r="F53" i="12" s="1"/>
  <c r="F59" i="12" s="1"/>
  <c r="F44" i="12" l="1"/>
  <c r="F43" i="12"/>
  <c r="F45" i="12" s="1"/>
  <c r="D20" i="12"/>
  <c r="F20" i="12" s="1"/>
  <c r="F13" i="12" l="1"/>
  <c r="D11" i="12"/>
  <c r="F11" i="12" s="1"/>
  <c r="F10" i="12"/>
  <c r="F8" i="12"/>
  <c r="D34" i="12"/>
  <c r="F34" i="12" s="1"/>
  <c r="D32" i="12"/>
  <c r="F32" i="12" s="1"/>
  <c r="F35" i="12"/>
  <c r="D30" i="12"/>
  <c r="F30" i="12" s="1"/>
  <c r="D29" i="12"/>
  <c r="F29" i="12" s="1"/>
  <c r="D27" i="12"/>
  <c r="F27" i="12" s="1"/>
  <c r="F25" i="12"/>
  <c r="F15" i="12"/>
  <c r="F37" i="12" l="1"/>
  <c r="F39" i="12" s="1"/>
  <c r="D38" i="12"/>
  <c r="F38" i="12" s="1"/>
  <c r="F21" i="12" l="1"/>
  <c r="F16" i="12"/>
  <c r="D19" i="12" l="1"/>
  <c r="F19" i="12" s="1"/>
  <c r="F18" i="12"/>
  <c r="F22" i="12" s="1"/>
  <c r="F60" i="12" s="1"/>
  <c r="E12" i="10" l="1"/>
  <c r="F12" i="10" s="1"/>
  <c r="D88" i="5"/>
  <c r="D87" i="6"/>
  <c r="D89" i="8"/>
  <c r="D88" i="8"/>
  <c r="D75" i="11" l="1"/>
  <c r="F75" i="11" s="1"/>
  <c r="D65" i="11"/>
  <c r="F65" i="11" s="1"/>
  <c r="F63" i="11"/>
  <c r="D57" i="11"/>
  <c r="F57" i="11" s="1"/>
  <c r="D53" i="11"/>
  <c r="D47" i="11"/>
  <c r="F47" i="11" s="1"/>
  <c r="F45" i="11"/>
  <c r="F40" i="11"/>
  <c r="F38" i="11"/>
  <c r="D30" i="11"/>
  <c r="D31" i="11" s="1"/>
  <c r="F31" i="11" s="1"/>
  <c r="F29" i="11"/>
  <c r="F28" i="11"/>
  <c r="F27" i="11"/>
  <c r="F24" i="11"/>
  <c r="D25" i="11"/>
  <c r="F25" i="11" s="1"/>
  <c r="D21" i="11"/>
  <c r="F21" i="11" s="1"/>
  <c r="F20" i="11"/>
  <c r="D12" i="11"/>
  <c r="F12" i="11" s="1"/>
  <c r="F11" i="11"/>
  <c r="F6" i="11"/>
  <c r="F7" i="11" s="1"/>
  <c r="F78" i="11"/>
  <c r="F79" i="11" s="1"/>
  <c r="F72" i="11"/>
  <c r="F76" i="11" s="1"/>
  <c r="F67" i="11"/>
  <c r="F66" i="11"/>
  <c r="F64" i="11"/>
  <c r="F56" i="11"/>
  <c r="F54" i="11"/>
  <c r="F52" i="11"/>
  <c r="F51" i="11"/>
  <c r="F49" i="11"/>
  <c r="F48" i="11"/>
  <c r="F39" i="11"/>
  <c r="F34" i="11"/>
  <c r="F32" i="11"/>
  <c r="F26" i="11"/>
  <c r="F23" i="11"/>
  <c r="F22" i="11"/>
  <c r="F19" i="11"/>
  <c r="F17" i="11"/>
  <c r="D14" i="11"/>
  <c r="F14" i="11" s="1"/>
  <c r="D13" i="11"/>
  <c r="F13" i="11" s="1"/>
  <c r="D89" i="5"/>
  <c r="F89" i="5" s="1"/>
  <c r="D71" i="5"/>
  <c r="D73" i="5"/>
  <c r="D65" i="5"/>
  <c r="D24" i="5"/>
  <c r="D74" i="6"/>
  <c r="D66" i="6"/>
  <c r="D63" i="6"/>
  <c r="D33" i="6"/>
  <c r="D37" i="6" s="1"/>
  <c r="D28" i="6"/>
  <c r="D24" i="6"/>
  <c r="D15" i="6"/>
  <c r="D118" i="2"/>
  <c r="F118" i="2" s="1"/>
  <c r="F117" i="2"/>
  <c r="F116" i="2"/>
  <c r="D115" i="2"/>
  <c r="F115" i="2" s="1"/>
  <c r="D114" i="2"/>
  <c r="F114" i="2" s="1"/>
  <c r="F111" i="2"/>
  <c r="F110" i="2"/>
  <c r="F109" i="2"/>
  <c r="F108" i="2"/>
  <c r="F105" i="2"/>
  <c r="F104" i="2"/>
  <c r="F103" i="2"/>
  <c r="F102" i="2"/>
  <c r="F101" i="2"/>
  <c r="F100" i="2"/>
  <c r="F99" i="2"/>
  <c r="F68" i="11" l="1"/>
  <c r="F112" i="2"/>
  <c r="F106" i="2"/>
  <c r="F119" i="2"/>
  <c r="D37" i="5"/>
  <c r="D39" i="5" s="1"/>
  <c r="F46" i="11"/>
  <c r="D58" i="11"/>
  <c r="F58" i="11" s="1"/>
  <c r="F30" i="11"/>
  <c r="D55" i="11"/>
  <c r="F55" i="11" s="1"/>
  <c r="F53" i="11"/>
  <c r="F50" i="11"/>
  <c r="D33" i="11"/>
  <c r="D16" i="11"/>
  <c r="F53" i="7"/>
  <c r="F83" i="7"/>
  <c r="D72" i="7"/>
  <c r="D70" i="7"/>
  <c r="F70" i="7" s="1"/>
  <c r="D66" i="7"/>
  <c r="F66" i="7" s="1"/>
  <c r="D59" i="7"/>
  <c r="D61" i="7" s="1"/>
  <c r="D46" i="7"/>
  <c r="F46" i="7" s="1"/>
  <c r="F42" i="7"/>
  <c r="D33" i="7"/>
  <c r="F32" i="7"/>
  <c r="F31" i="7"/>
  <c r="F30" i="7"/>
  <c r="D28" i="7"/>
  <c r="F28" i="7" s="1"/>
  <c r="F27" i="7"/>
  <c r="D24" i="7"/>
  <c r="F24" i="7" s="1"/>
  <c r="F23" i="7"/>
  <c r="D15" i="7"/>
  <c r="F15" i="7" s="1"/>
  <c r="D111" i="8"/>
  <c r="F111" i="8" s="1"/>
  <c r="F110" i="8"/>
  <c r="F109" i="8"/>
  <c r="D108" i="8"/>
  <c r="F108" i="8" s="1"/>
  <c r="D107" i="8"/>
  <c r="F107" i="8" s="1"/>
  <c r="F104" i="8"/>
  <c r="F103" i="8"/>
  <c r="F102" i="8"/>
  <c r="F101" i="8"/>
  <c r="F98" i="8"/>
  <c r="F97" i="8"/>
  <c r="F96" i="8"/>
  <c r="F95" i="8"/>
  <c r="F94" i="8"/>
  <c r="F93" i="8"/>
  <c r="F92" i="8"/>
  <c r="F89" i="8"/>
  <c r="F88" i="8"/>
  <c r="F82" i="8"/>
  <c r="F81" i="8"/>
  <c r="F90" i="8" s="1"/>
  <c r="F76" i="8"/>
  <c r="F75" i="8"/>
  <c r="F74" i="8"/>
  <c r="F73" i="8"/>
  <c r="F72" i="8"/>
  <c r="D67" i="8"/>
  <c r="F67" i="8" s="1"/>
  <c r="F65" i="8"/>
  <c r="D64" i="8"/>
  <c r="F64" i="8" s="1"/>
  <c r="F62" i="8"/>
  <c r="F60" i="8"/>
  <c r="D59" i="8"/>
  <c r="F59" i="8" s="1"/>
  <c r="F58" i="8"/>
  <c r="F57" i="8"/>
  <c r="F56" i="8"/>
  <c r="F55" i="8"/>
  <c r="F54" i="8"/>
  <c r="F53" i="8"/>
  <c r="F52" i="8"/>
  <c r="F51" i="8"/>
  <c r="F46" i="8"/>
  <c r="F42" i="8"/>
  <c r="F41" i="8"/>
  <c r="F40" i="8"/>
  <c r="F38" i="8"/>
  <c r="F36" i="8"/>
  <c r="F35" i="8"/>
  <c r="F32" i="8"/>
  <c r="F31" i="8"/>
  <c r="F30" i="8"/>
  <c r="F29" i="8"/>
  <c r="D28" i="8"/>
  <c r="F28" i="8" s="1"/>
  <c r="F27" i="8"/>
  <c r="F26" i="8"/>
  <c r="F25" i="8"/>
  <c r="F24" i="8"/>
  <c r="F23" i="8"/>
  <c r="F22" i="8"/>
  <c r="F20" i="8"/>
  <c r="D17" i="8"/>
  <c r="F17" i="8" s="1"/>
  <c r="D16" i="8"/>
  <c r="F16" i="8" s="1"/>
  <c r="D15" i="8"/>
  <c r="F15" i="8" s="1"/>
  <c r="F9" i="8"/>
  <c r="F8" i="8"/>
  <c r="F93" i="7"/>
  <c r="F92" i="7"/>
  <c r="F91" i="7"/>
  <c r="F90" i="7"/>
  <c r="F89" i="7"/>
  <c r="F88" i="7"/>
  <c r="F87" i="7"/>
  <c r="F80" i="7"/>
  <c r="F79" i="7"/>
  <c r="F74" i="7"/>
  <c r="F73" i="7"/>
  <c r="F71" i="7"/>
  <c r="F62" i="7"/>
  <c r="F60" i="7"/>
  <c r="F58" i="7"/>
  <c r="F57" i="7"/>
  <c r="F55" i="7"/>
  <c r="F54" i="7"/>
  <c r="F51" i="7"/>
  <c r="F41" i="7"/>
  <c r="F40" i="7"/>
  <c r="F38" i="7"/>
  <c r="F36" i="7"/>
  <c r="F29" i="7"/>
  <c r="F26" i="7"/>
  <c r="F25" i="7"/>
  <c r="F22" i="7"/>
  <c r="F20" i="7"/>
  <c r="D17" i="7"/>
  <c r="F17" i="7" s="1"/>
  <c r="D16" i="7"/>
  <c r="F16" i="7" s="1"/>
  <c r="F9" i="7"/>
  <c r="F8" i="7"/>
  <c r="F10" i="7" s="1"/>
  <c r="D110" i="6"/>
  <c r="F110" i="6" s="1"/>
  <c r="F109" i="6"/>
  <c r="F108" i="6"/>
  <c r="D107" i="6"/>
  <c r="F107" i="6" s="1"/>
  <c r="D106" i="6"/>
  <c r="F106" i="6" s="1"/>
  <c r="F103" i="6"/>
  <c r="F102" i="6"/>
  <c r="F101" i="6"/>
  <c r="F100" i="6"/>
  <c r="F97" i="6"/>
  <c r="F96" i="6"/>
  <c r="F95" i="6"/>
  <c r="F94" i="6"/>
  <c r="F93" i="6"/>
  <c r="F92" i="6"/>
  <c r="F91" i="6"/>
  <c r="F88" i="6"/>
  <c r="F87" i="6"/>
  <c r="F84" i="6"/>
  <c r="F81" i="6"/>
  <c r="F76" i="6"/>
  <c r="F75" i="6"/>
  <c r="F73" i="6"/>
  <c r="F72" i="6"/>
  <c r="D67" i="6"/>
  <c r="F67" i="6" s="1"/>
  <c r="F65" i="6"/>
  <c r="D64" i="6"/>
  <c r="F64" i="6" s="1"/>
  <c r="F62" i="6"/>
  <c r="F60" i="6"/>
  <c r="F58" i="6"/>
  <c r="F57" i="6"/>
  <c r="D59" i="6"/>
  <c r="F55" i="6"/>
  <c r="F54" i="6"/>
  <c r="F53" i="6"/>
  <c r="F51" i="6"/>
  <c r="F46" i="6"/>
  <c r="F45" i="6"/>
  <c r="F42" i="6"/>
  <c r="F41" i="6"/>
  <c r="F40" i="6"/>
  <c r="F38" i="6"/>
  <c r="F36" i="6"/>
  <c r="F32" i="6"/>
  <c r="F31" i="6"/>
  <c r="F30" i="6"/>
  <c r="F29" i="6"/>
  <c r="F28" i="6"/>
  <c r="F27" i="6"/>
  <c r="F26" i="6"/>
  <c r="F25" i="6"/>
  <c r="F24" i="6"/>
  <c r="F23" i="6"/>
  <c r="F22" i="6"/>
  <c r="F20" i="6"/>
  <c r="D17" i="6"/>
  <c r="F17" i="6" s="1"/>
  <c r="D16" i="6"/>
  <c r="F16" i="6" s="1"/>
  <c r="F15" i="6"/>
  <c r="F9" i="6"/>
  <c r="F8" i="6"/>
  <c r="F10" i="6" s="1"/>
  <c r="F94" i="5"/>
  <c r="F95" i="5"/>
  <c r="F96" i="5"/>
  <c r="F97" i="5"/>
  <c r="F98" i="5"/>
  <c r="F99" i="5"/>
  <c r="F103" i="5"/>
  <c r="F104" i="5"/>
  <c r="F105" i="5"/>
  <c r="F102" i="5"/>
  <c r="F93" i="5"/>
  <c r="D112" i="5"/>
  <c r="F112" i="5" s="1"/>
  <c r="F111" i="5"/>
  <c r="F110" i="5"/>
  <c r="D109" i="5"/>
  <c r="F109" i="5" s="1"/>
  <c r="D108" i="5"/>
  <c r="F108" i="5" s="1"/>
  <c r="F60" i="11" l="1"/>
  <c r="F113" i="5"/>
  <c r="F106" i="5"/>
  <c r="F89" i="6"/>
  <c r="F111" i="6"/>
  <c r="F104" i="6"/>
  <c r="F98" i="6"/>
  <c r="F75" i="7"/>
  <c r="F85" i="7"/>
  <c r="F94" i="7"/>
  <c r="F112" i="8"/>
  <c r="F77" i="8"/>
  <c r="F10" i="8"/>
  <c r="F99" i="8"/>
  <c r="D37" i="8"/>
  <c r="F37" i="8" s="1"/>
  <c r="F35" i="7"/>
  <c r="D37" i="7"/>
  <c r="F63" i="8"/>
  <c r="F105" i="8"/>
  <c r="D35" i="11"/>
  <c r="F35" i="11" s="1"/>
  <c r="F33" i="11"/>
  <c r="D18" i="11"/>
  <c r="F18" i="11" s="1"/>
  <c r="F16" i="11"/>
  <c r="F41" i="11" s="1"/>
  <c r="F37" i="6"/>
  <c r="D19" i="7"/>
  <c r="D21" i="7" s="1"/>
  <c r="F33" i="8"/>
  <c r="D61" i="8"/>
  <c r="F61" i="8" s="1"/>
  <c r="F14" i="8"/>
  <c r="F66" i="8"/>
  <c r="F69" i="8" s="1"/>
  <c r="D19" i="8"/>
  <c r="F19" i="8" s="1"/>
  <c r="F59" i="7"/>
  <c r="F61" i="7"/>
  <c r="F14" i="7"/>
  <c r="F72" i="7"/>
  <c r="F56" i="7"/>
  <c r="F52" i="7"/>
  <c r="F33" i="7"/>
  <c r="F59" i="6"/>
  <c r="D61" i="6"/>
  <c r="F61" i="6" s="1"/>
  <c r="D19" i="6"/>
  <c r="F19" i="6" s="1"/>
  <c r="F33" i="6"/>
  <c r="F14" i="6"/>
  <c r="F74" i="6"/>
  <c r="F77" i="6" s="1"/>
  <c r="F35" i="6"/>
  <c r="F56" i="6"/>
  <c r="F52" i="6"/>
  <c r="F63" i="6"/>
  <c r="F66" i="6"/>
  <c r="F100" i="5"/>
  <c r="F47" i="6" l="1"/>
  <c r="F69" i="6"/>
  <c r="F67" i="7"/>
  <c r="D39" i="8"/>
  <c r="F39" i="8" s="1"/>
  <c r="D21" i="8"/>
  <c r="F21" i="8" s="1"/>
  <c r="F47" i="8" s="1"/>
  <c r="F113" i="8" s="1"/>
  <c r="E6" i="10" s="1"/>
  <c r="D39" i="6"/>
  <c r="F39" i="6" s="1"/>
  <c r="D21" i="6"/>
  <c r="F21" i="6" s="1"/>
  <c r="F19" i="7"/>
  <c r="F47" i="7" s="1"/>
  <c r="F21" i="7"/>
  <c r="F37" i="7"/>
  <c r="D39" i="7"/>
  <c r="F39" i="7" s="1"/>
  <c r="F112" i="6" l="1"/>
  <c r="F95" i="7"/>
  <c r="E9" i="10"/>
  <c r="F9" i="10" s="1"/>
  <c r="F6" i="10"/>
  <c r="F80" i="11"/>
  <c r="E11" i="10" s="1"/>
  <c r="F11" i="10" s="1"/>
  <c r="D35" i="2" l="1"/>
  <c r="D37" i="2"/>
  <c r="D63" i="2"/>
  <c r="F95" i="2"/>
  <c r="D79" i="2"/>
  <c r="D77" i="2"/>
  <c r="F77" i="2" s="1"/>
  <c r="D70" i="2"/>
  <c r="D71" i="2" s="1"/>
  <c r="F71" i="2" s="1"/>
  <c r="D68" i="2"/>
  <c r="F68" i="2" s="1"/>
  <c r="F54" i="2"/>
  <c r="F48" i="2"/>
  <c r="F44" i="2"/>
  <c r="D39" i="2"/>
  <c r="F34" i="2"/>
  <c r="F32" i="2"/>
  <c r="F31" i="2"/>
  <c r="F29" i="2"/>
  <c r="F28" i="2"/>
  <c r="D25" i="2"/>
  <c r="F25" i="2" s="1"/>
  <c r="F24" i="2"/>
  <c r="F16" i="2"/>
  <c r="D90" i="5"/>
  <c r="F90" i="5" s="1"/>
  <c r="F88" i="5"/>
  <c r="F85" i="5"/>
  <c r="F82" i="5"/>
  <c r="F80" i="5"/>
  <c r="F75" i="5"/>
  <c r="F74" i="5"/>
  <c r="F73" i="5"/>
  <c r="F72" i="5"/>
  <c r="F71" i="5"/>
  <c r="F76" i="5" s="1"/>
  <c r="F65" i="5"/>
  <c r="F64" i="5"/>
  <c r="D63" i="5"/>
  <c r="F63" i="5" s="1"/>
  <c r="F61" i="5"/>
  <c r="F59" i="5"/>
  <c r="F57" i="5"/>
  <c r="F56" i="5"/>
  <c r="D58" i="5"/>
  <c r="F54" i="5"/>
  <c r="F53" i="5"/>
  <c r="F52" i="5"/>
  <c r="F50" i="5"/>
  <c r="F45" i="5"/>
  <c r="F42" i="5"/>
  <c r="F41" i="5"/>
  <c r="F40" i="5"/>
  <c r="F38" i="5"/>
  <c r="F36" i="5"/>
  <c r="F32" i="5"/>
  <c r="F31" i="5"/>
  <c r="F30" i="5"/>
  <c r="F29" i="5"/>
  <c r="F28" i="5"/>
  <c r="F27" i="5"/>
  <c r="F26" i="5"/>
  <c r="F25" i="5"/>
  <c r="F24" i="5"/>
  <c r="F23" i="5"/>
  <c r="F22" i="5"/>
  <c r="F20" i="5"/>
  <c r="D17" i="5"/>
  <c r="F17" i="5" s="1"/>
  <c r="D16" i="5"/>
  <c r="F16" i="5" s="1"/>
  <c r="F15" i="5"/>
  <c r="F9" i="5"/>
  <c r="F8" i="5"/>
  <c r="D96" i="2"/>
  <c r="F96" i="2" s="1"/>
  <c r="F92" i="2"/>
  <c r="F89" i="2"/>
  <c r="F87" i="2"/>
  <c r="F81" i="2"/>
  <c r="F80" i="2"/>
  <c r="F78" i="2"/>
  <c r="F69" i="2"/>
  <c r="F66" i="2"/>
  <c r="F64" i="2"/>
  <c r="F62" i="2"/>
  <c r="F61" i="2"/>
  <c r="F59" i="2"/>
  <c r="F58" i="2"/>
  <c r="F47" i="2"/>
  <c r="F43" i="2"/>
  <c r="F42" i="2"/>
  <c r="F40" i="2"/>
  <c r="F38" i="2"/>
  <c r="F30" i="2"/>
  <c r="F27" i="2"/>
  <c r="F26" i="2"/>
  <c r="F23" i="2"/>
  <c r="F21" i="2"/>
  <c r="D18" i="2"/>
  <c r="F18" i="2" s="1"/>
  <c r="D17" i="2"/>
  <c r="F17" i="2" s="1"/>
  <c r="F9" i="2"/>
  <c r="F8" i="2"/>
  <c r="F10" i="2" s="1"/>
  <c r="F10" i="5" l="1"/>
  <c r="F82" i="2"/>
  <c r="F97" i="2"/>
  <c r="F91" i="5"/>
  <c r="D20" i="2"/>
  <c r="F20" i="2" s="1"/>
  <c r="F55" i="5"/>
  <c r="D66" i="5"/>
  <c r="F66" i="5" s="1"/>
  <c r="F37" i="5"/>
  <c r="F57" i="2"/>
  <c r="F39" i="2"/>
  <c r="F58" i="5"/>
  <c r="D60" i="5"/>
  <c r="F60" i="5" s="1"/>
  <c r="F19" i="5"/>
  <c r="F33" i="5"/>
  <c r="F14" i="5"/>
  <c r="F35" i="5"/>
  <c r="F51" i="5"/>
  <c r="F62" i="5"/>
  <c r="F63" i="2"/>
  <c r="D65" i="2"/>
  <c r="F65" i="2" s="1"/>
  <c r="F15" i="2"/>
  <c r="F37" i="2"/>
  <c r="F70" i="2"/>
  <c r="F79" i="2"/>
  <c r="F35" i="2"/>
  <c r="F60" i="2"/>
  <c r="F56" i="2"/>
  <c r="F67" i="2"/>
  <c r="F73" i="2" l="1"/>
  <c r="F120" i="2" s="1"/>
  <c r="F68" i="5"/>
  <c r="D22" i="2"/>
  <c r="F22" i="2" s="1"/>
  <c r="F49" i="2" s="1"/>
  <c r="F39" i="5"/>
  <c r="D41" i="2"/>
  <c r="F41" i="2" s="1"/>
  <c r="D21" i="5"/>
  <c r="F21" i="5" s="1"/>
  <c r="F46" i="5" s="1"/>
  <c r="F114" i="5" l="1"/>
  <c r="E7" i="10"/>
  <c r="F7" i="10" s="1"/>
  <c r="E10" i="10"/>
  <c r="F10" i="10" s="1"/>
  <c r="E8" i="10" l="1"/>
  <c r="F8" i="10" s="1"/>
  <c r="F13" i="10" s="1"/>
</calcChain>
</file>

<file path=xl/sharedStrings.xml><?xml version="1.0" encoding="utf-8"?>
<sst xmlns="http://schemas.openxmlformats.org/spreadsheetml/2006/main" count="1132" uniqueCount="237">
  <si>
    <t>SITE PREPARATION</t>
  </si>
  <si>
    <t xml:space="preserve">mobilization and site clearance </t>
  </si>
  <si>
    <t>m2</t>
  </si>
  <si>
    <t>SUBSTRUCTURES</t>
  </si>
  <si>
    <t>EXCAVATIONS AND EARTHWORKS</t>
  </si>
  <si>
    <t>Foundation Excavations</t>
  </si>
  <si>
    <t>Excavate for Strip foundation  not exceeding 1.00 metres deep starting from reduced level</t>
  </si>
  <si>
    <t>m3</t>
  </si>
  <si>
    <t>Ditto column bases</t>
  </si>
  <si>
    <t>Allow for Keeping Excavations free of water by any means necessary</t>
  </si>
  <si>
    <t>Item</t>
  </si>
  <si>
    <t>Allow planking and strutting to sides of excavations</t>
  </si>
  <si>
    <t>Backfilling</t>
  </si>
  <si>
    <t xml:space="preserve">Return fill and ram excavated materials </t>
  </si>
  <si>
    <t>Excess Excavated Materials</t>
  </si>
  <si>
    <t>Load and wheel and spread where shown on site</t>
  </si>
  <si>
    <t>Hardcore, Filling</t>
  </si>
  <si>
    <t>50 mm murram blinding</t>
  </si>
  <si>
    <t xml:space="preserve">Vibrated reinforced insitu concrete class 25/20; minimum cube crushing strength of 25N/mm²; in including shuttering </t>
  </si>
  <si>
    <t>column bases</t>
  </si>
  <si>
    <t xml:space="preserve"> including A142;mesh 200 x 200 mm weight 2.22kgs per square metre (measured net-no allowance made for laps); including bends, tying wire and distance blocks. Rate to include laps </t>
  </si>
  <si>
    <t>ground floor slab (100 mm thick)</t>
  </si>
  <si>
    <t>M2</t>
  </si>
  <si>
    <t>Concrete Works</t>
  </si>
  <si>
    <t>50 mm Thick blinding, 'Mass concrete class 15/20 mix 1:3:6 as described in:-</t>
  </si>
  <si>
    <t>foundation trench</t>
  </si>
  <si>
    <t>Column bases</t>
  </si>
  <si>
    <t>Anti-termite treatment</t>
  </si>
  <si>
    <t>Chemical anti-termite treatment as "Premise 200 SC" or other equal and approved executed complete by an  approved specialist under a ten (10) year guarantee to surfaces of blinded hardcore  and under trench surfaces.</t>
  </si>
  <si>
    <t>Damp proof membrane</t>
  </si>
  <si>
    <t>1000 gauge polythene or other equal and approved damp proof membrane laid under surface bed with 300mm side  and end laps (measured net- allow for laps).</t>
  </si>
  <si>
    <t>Foundation walling</t>
  </si>
  <si>
    <t>Plinths</t>
  </si>
  <si>
    <t>20mm thick cement: sand (1:3) plaster to plinth.</t>
  </si>
  <si>
    <t>400mm thick foundation walling.</t>
  </si>
  <si>
    <t>Walling</t>
  </si>
  <si>
    <t>200mm thick walls</t>
  </si>
  <si>
    <t xml:space="preserve">concrete works </t>
  </si>
  <si>
    <t>columns (400x200)</t>
  </si>
  <si>
    <t>lintel beam (200x200)</t>
  </si>
  <si>
    <t>ring beam (200x200)</t>
  </si>
  <si>
    <t>Hallow block concrete walling (mix 1:3:6); bedded, load bearing 7N/mm², jointed  and pointed in cement sand (1:3) mortar; reinforced with hoop iron after every alternate course.</t>
  </si>
  <si>
    <t>Wall Finishes</t>
  </si>
  <si>
    <t>20mm thick cement sand (1:3) plaster, with steel troweled finish to:</t>
  </si>
  <si>
    <t>Internal sides of plastered wall surfaces inluding openings.</t>
  </si>
  <si>
    <t xml:space="preserve">Prepare surfaces and apply two unercoat white emulsion paint and two finishing coats of first quality of soft white silk emulsion paint as: </t>
  </si>
  <si>
    <t>Plastered wall surfaces icluding openings.</t>
  </si>
  <si>
    <t>25mm thick screeds; mixture of cement and sand (1:4)  to receive ceramic wall tiles with control joints.</t>
  </si>
  <si>
    <t>Floor Finishing</t>
  </si>
  <si>
    <t>25mm thick screeds; mixture of cement and sand (1:4)  to receive ceramic floor tiles with control joints.</t>
  </si>
  <si>
    <t>Ceramic wall tiles</t>
  </si>
  <si>
    <t>300 x 200mm glazed ceramic tiles to wall on prepared backing including grouting, adhesive, spaces and all other materials and laying to completion.</t>
  </si>
  <si>
    <t>600 x 600mm glazed ceramic floor tiles to floor on prepared backing including grouting, adhesive, spaces and all other materials and laying to completion.</t>
  </si>
  <si>
    <t>Aluminium Door</t>
  </si>
  <si>
    <t>Supply and install factory made aluminium door with 100 x 50mm framing and panels held from 3 points with 100mm hinges and including tower bolts of same materials. All Doors to be fitted with rubber door stops to prevent snagging of handles against internal walls when opening</t>
  </si>
  <si>
    <t>Aluminium Wndows</t>
  </si>
  <si>
    <t xml:space="preserve">Supply and fix the following white powder coated heavy duty  aluminium frame shutter casement windows as per the architect design; complete with 6mm Clear sheet glass with shutter proof coating and all necessary hardware and accessories approved from samples:- (See details provided). Cost to include outside grill and fly screen netting. </t>
  </si>
  <si>
    <t>600 x 600 mm high; sliding window (AW03)</t>
  </si>
  <si>
    <t>Timber doors of approved hardwood, 45mm thick solid core, hardwood veneer laminated door shutter with hardwood lipping all round; veneer and colour to be approved.</t>
  </si>
  <si>
    <t xml:space="preserve">Ceiling board </t>
  </si>
  <si>
    <t>facia board</t>
  </si>
  <si>
    <t>200x25 Fascia board</t>
  </si>
  <si>
    <t>No</t>
  </si>
  <si>
    <t>DESCRIPTION</t>
  </si>
  <si>
    <t>Unit</t>
  </si>
  <si>
    <t>Qty</t>
  </si>
  <si>
    <t xml:space="preserve">rate </t>
  </si>
  <si>
    <t>Amount</t>
  </si>
  <si>
    <t>Nordic international support foundation</t>
  </si>
  <si>
    <t>Lasanod district Sool region Somalia</t>
  </si>
  <si>
    <t>LS</t>
  </si>
  <si>
    <t>SM</t>
  </si>
  <si>
    <t>ground beam (400x200)</t>
  </si>
  <si>
    <t xml:space="preserve">2000 x 2100mm high; single door </t>
  </si>
  <si>
    <t>900 x 2100mm high; double leaf door</t>
  </si>
  <si>
    <t>750 x 2100 mm high; single door 2</t>
  </si>
  <si>
    <t>1500 x 1200 mm high; sliding window (AW02)</t>
  </si>
  <si>
    <t>Bill No: Intensive care unit (ICU)</t>
  </si>
  <si>
    <t xml:space="preserve">Sub total site preperation </t>
  </si>
  <si>
    <t>Clear site off all vegetation including small trees, scrubs, bushes and demolishing existing septic tank: removal of any materials dumped it spread gravel on the surface level and compacte it.</t>
  </si>
  <si>
    <t>natural rubble stone (mix 1:3:6); bedded, jointed  and pointed in cement sand (1:3) mortar; reinforced with hoop iron after every alternate course.</t>
  </si>
  <si>
    <t xml:space="preserve">SUPERSTRUCTURES </t>
  </si>
  <si>
    <t>SUB TOTAL SUPERSTRUCTURES WORKS</t>
  </si>
  <si>
    <t>SUB TOTAL SUBSTRUCTURES WORKS</t>
  </si>
  <si>
    <t xml:space="preserve">ROOF STRUCUTURES </t>
  </si>
  <si>
    <t>Roof coverage</t>
  </si>
  <si>
    <t>SUB TOTAL ROOF STRUCTURES WORKS</t>
  </si>
  <si>
    <t>LM</t>
  </si>
  <si>
    <t xml:space="preserve">timber doors </t>
  </si>
  <si>
    <t>DOOR and WINDOWS</t>
  </si>
  <si>
    <t>SUB TOTAL DOOR AND WINDOWS</t>
  </si>
  <si>
    <t>Bill Nome: outpatient department (OPD)</t>
  </si>
  <si>
    <t>Lighting points wired in 2.5mm2 twin with earth PVC/SC CU cables drawn into 20mm full length heavy gauge PVC conduits installed on the surface of the walls and ceiling and fixed on the roof purlins with 20mm spacer bar saddles but without switch and light fitting for:</t>
  </si>
  <si>
    <t>Socket outlet power points wired in 3 x 2.5mm2 PVC/SC copper cables laid in the skirting trunking measured elsewhere but excluding socket outlet plates.</t>
  </si>
  <si>
    <t>Ceiling fan 1100mm diameter ceiling sweep fan with suspension rod of 250mm overall drop and capable of delivering 8761m3/hr minimum at maximum speed of 350 revs per minute. The sweep fan to be complete with  a 250mm suspension rod and fan controller. Power input 50W. Ceiling sweep fan to be as "Expelair  whispair" or equivalent.</t>
  </si>
  <si>
    <t xml:space="preserve">Allow for electricity connection from the nearest grid and including  meter. The cost shall include the cable and all necessary poles to be erected in approximately 50m distance to be determined on site. </t>
  </si>
  <si>
    <t>Close-coupled WC suite in approved colour complete with horizontal outlet to BS 3402 with 7.5 litre valveless ceramic cistern and fittings including siphon,15mm diameter bottom inlet ball valve, 20mm diameter side overflow, plastic flush bend, inlet connection, ecoflush system with push button and heavy plastic seat and cover with chrome plated hinges. As Nova or approved equivalent.</t>
  </si>
  <si>
    <t>Pedestal wash hand basin size 635 x 500mm with one tap hole, 32mm diameter chrome plated chain waste, chain stay hole, chrome plated mixer tap with pop-up waste as Tapis and heavy duty plastic bottle trap (32mm 'P' trap) with 75mm seal. As Nova or equal and approved.</t>
  </si>
  <si>
    <t xml:space="preserve">Provide PC sum for supply, deliver and install the following UPVC soil and waste systems, manhole constructions respectively with fittings fixed to Manufactures Printed instructions and manufactured by reputable manufacturers. Tenderers must allow in their pipework prices for all the couplings, clippings, connectors, joints etc. as required in the running lengths of pipework and also where necessary, for pipe fixing clips, holder bats plugged and screwed for the proper and satisfactory functioning of the system. </t>
  </si>
  <si>
    <t>Plain concrete in 50 mm thick blinding layer (1:3:6 mix) under the foundation wall.</t>
  </si>
  <si>
    <t>SEPTIC TANK</t>
  </si>
  <si>
    <t xml:space="preserve">ELECTRICAL INSTALLATION </t>
  </si>
  <si>
    <t>MECHANICAL WORK</t>
  </si>
  <si>
    <t xml:space="preserve">Earthing of all the building’s electrical services  </t>
  </si>
  <si>
    <t xml:space="preserve">SUB TOTAL ELECTRICAL INSTALLATION </t>
  </si>
  <si>
    <t>NO</t>
  </si>
  <si>
    <t>N0</t>
  </si>
  <si>
    <t>Provide PC Sum for Supply, deliver and install PP-R (Polypropylene Random Co-polymer)  pipes, tubing and fittings as described and shown on the drawings. The pipes and fittings shall be produced as per  DIN 8078 and DIN 16962, and shall meet or exceed the requirements of DVS 2207, current standards for PP-R installations and to the Engineers approval. The pipes will be pressure tested before the plastering of wall commences and as per the manufacturers  recommended testing pressures.</t>
  </si>
  <si>
    <t>SUB TOTAL MACHANICAL WORK</t>
  </si>
  <si>
    <t xml:space="preserve"> </t>
  </si>
  <si>
    <t>R.C (1:2:4 Mixing ratio) slab  with two entering access of 0.20 m thick with Ø 12mm, 10mm and 8mm bars both ways at top and bottom and distanced 150mm each to otheR</t>
  </si>
  <si>
    <t>Excavation of septic tank hall 4000mm long, 3000mm wide and 3000mm depth.</t>
  </si>
  <si>
    <t>R.C (1:2:4 mix) in ground beam 200mm x 200mm with 6N0. Y14 re-bars &amp; R6 links @ 250 mm c/c.</t>
  </si>
  <si>
    <t>SUB TOTAL SEPTIC TANK</t>
  </si>
  <si>
    <t>GRAND TOTAL INTENSIVE CARE UNIT</t>
  </si>
  <si>
    <t xml:space="preserve">Lighting fittings complete with 600mm, 1 x 18 watts single batten shallow fluorescent luminaire with white stove enameled body and white plastic overlapping end caps with diffuser attachment and complete with the lamp LED. </t>
  </si>
  <si>
    <t>Wall skirt tiles</t>
  </si>
  <si>
    <t>110mm thick glazed ceramic skirt tiles to wall on prepared backing including grouting, adhesive, spaces and all other materials and laying to completion.</t>
  </si>
  <si>
    <t xml:space="preserve">1200 x 2100mm high; single door </t>
  </si>
  <si>
    <t>Bill No: Blood bank unit</t>
  </si>
  <si>
    <t>Bill No: Dialysis unit</t>
  </si>
  <si>
    <t>Intensive care unit</t>
  </si>
  <si>
    <t>outpatient deparment</t>
  </si>
  <si>
    <t>Dialysis unit</t>
  </si>
  <si>
    <t>Blood bank unit</t>
  </si>
  <si>
    <t>Haspital canteen</t>
  </si>
  <si>
    <t>ls</t>
  </si>
  <si>
    <t xml:space="preserve">GRAND TOTAL BLOOD BANK UNIT </t>
  </si>
  <si>
    <t xml:space="preserve">GRAND TOTAL HOSPITAL CANTEEN </t>
  </si>
  <si>
    <t>1200 x 1200 mm high; sliding window (AW02)</t>
  </si>
  <si>
    <t>2000 x 1200 mm high; sliding window (AW02)</t>
  </si>
  <si>
    <t>M3</t>
  </si>
  <si>
    <t>steel doors of approved hardwood, 45mm thick solid core, hardwood veneer laminated door shutter with hardwood lipping all round; veneer and colour to be approved.</t>
  </si>
  <si>
    <t>SUB TOTAL ELECTRICAL INSTALLATION WORK</t>
  </si>
  <si>
    <t>TOTAL MATURY ROOM</t>
  </si>
  <si>
    <t xml:space="preserve">200mm thick walls including gamble </t>
  </si>
  <si>
    <t xml:space="preserve">Bill No: Renovation works </t>
  </si>
  <si>
    <t>Lay at the bottom of excavated trenches 50mm blinding lean concrete 1:4:8</t>
  </si>
  <si>
    <t>Apply two coats white wash paint on all plastered surfaces</t>
  </si>
  <si>
    <t>Construct concrete block wall bedded and jointed with cement sand mortar of 1:4proportion (1 cement: 4 clean coarse sand) up to a height of 300cm.</t>
  </si>
  <si>
    <t>Supply and fix entrance gate having size of 1.5m wide and 2.5m high with all its fittings and accessories include supporting reinforced concrete columns</t>
  </si>
  <si>
    <t xml:space="preserve">CONCRETE WORK </t>
  </si>
  <si>
    <t>MASONRY WORK</t>
  </si>
  <si>
    <t>PLASTERING AND FINISHING WORK</t>
  </si>
  <si>
    <t>DEMOLISH WALL</t>
  </si>
  <si>
    <t>R.C.C. work 200mm thick for tie beam for fence wall with cement concrete 1:2:4 (1 cement : 2 clean coarse sand : 4 stone aggregate of 25mm down) , including 6 numbers Y12mm dia steel bars and 8mm stirrups @30cm centers including centering and shuttering complete.</t>
  </si>
  <si>
    <t>R.C.C. work 400mm x 150mm for Ground beam with cement concrete 1:2:4 (1 cement : 2 clean coarse sand : 4 stone aggregate of 25mm down) , including 8 numbers Y12mm dia steel bars and 8mm stirrups @30cm centers including centering and shuttering complete.</t>
  </si>
  <si>
    <t>Construct stone wall in foundation, 40cm thickness bedded and jointed with cement sand mortar of 1:4 proportion (1 cement: 4 clean coarse sand) up to a height of 80cm.</t>
  </si>
  <si>
    <t>R.C.C. work 200mm thick for tie beam for boundary wall with cement concrete 1:2:4 (1 cement : 2 clean coarse sand : 4 stone aggregate of 25mm down) , including 6 numbers Y12mm dia steel bars and 8mm stirrups @30cm centers including centering and shuttering complete.</t>
  </si>
  <si>
    <t>no</t>
  </si>
  <si>
    <t xml:space="preserve">Fill depressions of surfaces with mortar. Apply on 2 surfaces with well graded cement  sand mixture, 1:3 (1 cement: 3 clean coarse sand) proportion with minimal water.  </t>
  </si>
  <si>
    <t xml:space="preserve">Fill depressions of surfaces with mortar. Apply on 2 surfaces with well graded cement  sand mixture, 1:3 (1 cement: 3 clean coarse sand) proportion with minimal water.   </t>
  </si>
  <si>
    <t>Sub total emergency ward extension wall</t>
  </si>
  <si>
    <t xml:space="preserve">Prepare surfaces and apply two unercoat white emulsion paint and two finishing coats of first quality of soft white silk emulsion paint for internal and axternal wall of tiolets </t>
  </si>
  <si>
    <t>Prepare surfaces and apply two unercoat white emulsion paint and two finishing coats of first quality of soft white silk emulsion paint for the extension wall</t>
  </si>
  <si>
    <t>Construct concrete block wall bedded and jointed with cement sand mortar of 1:4proportion (1 cement: 4 clean coarse sand) up to a height of 3.4</t>
  </si>
  <si>
    <t>Remove non-functional and old tiolet seatsband replace close-coupled WC suite in approved colour complete with horizontal outlet to BS 3402 with 7.5 litre valveless ceramic cistern and fittings including siphon,15mm diameter bottom inlet ball valve, 20mm diameter side overflow, plastic flush bend, inlet connection, ecoflush system with push button and heavy plastic seat and cover with chrome plated hinges. As Nova or approved equivalent.</t>
  </si>
  <si>
    <t>A</t>
  </si>
  <si>
    <t xml:space="preserve">Rehabilitation neonatal care unit </t>
  </si>
  <si>
    <t>Extension emargancy ward wall</t>
  </si>
  <si>
    <t>Remove non functional hand washing basins and rplace new pedestal wash hand basin size 635 x 500mm with one tap hole, 32mm diameter chrome plated chain waste, chain stay hole, chrome plated mixer tap with pop-up waste as Tapis and heavy duty plastic bottle trap (32mm 'P' trap) with 75mm seal. As Nova or equal and approved.</t>
  </si>
  <si>
    <t>Rehabilitation surgical ward tiolets</t>
  </si>
  <si>
    <t>B</t>
  </si>
  <si>
    <t>C</t>
  </si>
  <si>
    <t>Sub Total rehabiltation surgical ward tiolets</t>
  </si>
  <si>
    <t>Mortuary room</t>
  </si>
  <si>
    <t>foot step and disabled rambs</t>
  </si>
  <si>
    <t>Construct stone wall for steps at the entrances with non slipery tiles as per the drawings and instruction with engineer</t>
  </si>
  <si>
    <t>foot steps and disabled ramps</t>
  </si>
  <si>
    <t>foot step and disabled ramps</t>
  </si>
  <si>
    <t xml:space="preserve">Lighting points wired in 2.5mm2 twin with earth PVC/SC CU cables drawn into 20mm full length heavy gauge PVC conduits installed on the surface of the walls and ceiling and fixed on the roof purlins with 20mm spacer bar saddles, cost should inlcude light bulbs, switchs and scokets </t>
  </si>
  <si>
    <t>Supply, laid and compact interlock tiles 6cm thick for side walks with fine sand. all tests as per design specification &amp; Enginees Instruction.</t>
  </si>
  <si>
    <t>Demolition of hollow blocks/concrete wall complete with removing all material arising from site and make good 
surrounding finish. and remove all debris from site to dedicated safe places.</t>
  </si>
  <si>
    <t xml:space="preserve">Rehabilitation administration office </t>
  </si>
  <si>
    <t xml:space="preserve">Sub total rehabiltation administration office </t>
  </si>
  <si>
    <t>D</t>
  </si>
  <si>
    <t>clear site and Supply, laid and compact interlock tiles 6cm thick for side walks with fine sand including designated resting area. all tests as per design specification &amp; Enginees Instruction.</t>
  </si>
  <si>
    <t xml:space="preserve">precast concrete outdoor bench seat with backrest, sizes 1300mm length, seat slab 75mm thick and above the ground 600mm. The cost should include plastering with cement and sand and applying two coats of emulsion white paint </t>
  </si>
  <si>
    <t>Supply and install single metal gate, with mild steel plate of 2mm thickness, sizes 1000mm wide x 2200mm high, cost should include two coats of anti rust painting</t>
  </si>
  <si>
    <t>Excavate for gate column bases not exceeding 1.00 metres deep starting from reduced level</t>
  </si>
  <si>
    <t>Vibrated reinforced insitu concrete class 25/20; minimum cube crushing strength of 25N/mm²; in including shuttering for column bases</t>
  </si>
  <si>
    <t>Vibrated reinforced insitu concrete class 25/20; minimum cube crushing strength of 25N/mm²; in including shuttering for column sizes of 400mm x 400mm thick</t>
  </si>
  <si>
    <t xml:space="preserve">Entrance gate </t>
  </si>
  <si>
    <t>E</t>
  </si>
  <si>
    <t>Sub total Entrance gate</t>
  </si>
  <si>
    <t xml:space="preserve">Grand total Renovation works </t>
  </si>
  <si>
    <t>Renovation works</t>
  </si>
  <si>
    <t xml:space="preserve">Grand total reconstruction Lasanod hospital </t>
  </si>
  <si>
    <t>Door</t>
  </si>
  <si>
    <t xml:space="preserve">Supply and install brown coated exterior stainless steel front doors  with frame complete with all fittings, hinges, locks and keys - door size 2100x2000mm. </t>
  </si>
  <si>
    <t>Supply and install brown coated exterior stainless steel front doors  with frame complete with all fittings, hinges, locks and keys</t>
  </si>
  <si>
    <t>900 x 2100mm high; single leaf door</t>
  </si>
  <si>
    <t>2100 x 2000mm hight: double leaf stianless door</t>
  </si>
  <si>
    <t>Programme for Social, Political and Environmental Resilience in Somalia (PROSPERIS)</t>
  </si>
  <si>
    <t>600 x 600mm glazed ceramic floor tiles and skirt tiless to floor on prepared backing including grouting, adhesive, spaces and all other materials and laying to completion.</t>
  </si>
  <si>
    <t>GRAND TOTAL DIALYSIS WARD</t>
  </si>
  <si>
    <t>GRAND TOTAL OUTPATIENT DEPARTMENT</t>
  </si>
  <si>
    <t xml:space="preserve">1200 x 2100mm high; double leaf door </t>
  </si>
  <si>
    <t>900 x 2100mm high; single door</t>
  </si>
  <si>
    <t>See sub-sheet Bill nr 1</t>
  </si>
  <si>
    <t>See sub-sheet Bill nr 2</t>
  </si>
  <si>
    <t>See sub-sheet Bill nr 3</t>
  </si>
  <si>
    <t>See sub-sheet Bill nr 4</t>
  </si>
  <si>
    <t>See sub-sheet Bill nr 5</t>
  </si>
  <si>
    <t>See sub-sheet Bill nr 6</t>
  </si>
  <si>
    <t>See sub-sheet Bill nr 7</t>
  </si>
  <si>
    <t>R.C.C. work 200mm x 200mm column with column bases size 1000x1000mm square for cement concrete 1:2:4 (1 cement : 2 clean coarse sand : 4 stone aggregate of 25mm down) , including 6 numbers Y12mm dia steel bars and 8mm stirrups @30cm centers including centering and shuttering complete.</t>
  </si>
  <si>
    <t>R.C.C. work 200mm x 200mm column with column base of 500x 500  millimimeter square cement concrete 1:2:4 (1 cement : 2 clean coarse sand : 4 stone aggregate of 25mm down) , including 6 numbers Y12mm dia steel bars and 8mm stirrups @30cm centers including centering and shuttering complete.</t>
  </si>
  <si>
    <t>Clear site off all vegetation including small trees, scrubs, bushes: removal of any materials dumped it spread gravel on the surface level and compacte it.</t>
  </si>
  <si>
    <t>Clear site off all vegetation including small trees, scrubs, bushes removal of any materials dumped it spread gravel on the surface level and compacte it.</t>
  </si>
  <si>
    <t xml:space="preserve">Steel doors </t>
  </si>
  <si>
    <t>Clear site off all vegetation including small trees, scrubs, bushes: and demolish old mortuary room removal of any materials dumped it spread gravel on the surface level and compacte it.</t>
  </si>
  <si>
    <t>Bill No: Mortuary room</t>
  </si>
  <si>
    <t>Supply and install sliding metal gate with mild steel plate of 2mm thickness, sizes 2500mm high x 5000mm wide, solid steel plate from the rollers. (Angle iron - 3'' x 3'' &amp; 2'' x 2''), (box pipe(1.5'' x 3'' &amp; 1'' x 1.5''), flat bar 1.5'', rail wheel gate -4'. cost should include two coats of anti rust painting</t>
  </si>
  <si>
    <t>m</t>
  </si>
  <si>
    <t>24-ways TP&amp;N Distribution Board DB "A" 100Amps rating, MCB, flush mounted, metal cased unit complete with 100Amps TP&amp;N integral isolator and 30mA RCD  and MCBs as per drawing inclusive all as schneider Electric or approved equivalent.</t>
  </si>
  <si>
    <t>12-ways TP&amp;N Distribution Board DB "A" 100Amps rating, MCB, flush mounted, metal cased unit complete with 100Amps TP&amp;N integral isolator and 30mA RCD  and MCBs as per drawing inclusive all as schneider Electric or approved equivalent.</t>
  </si>
  <si>
    <t>Supply and constuct roof including truss members, prepainted galvanised iron sheets gauge 28 complete with nails, straps and secured with iron bars embedded into tie beam. The truss members, common rafters, gusset plates, struts, purlins and ceiling joists are in soft wood and of the following sections: 150x50 - Tie beam (double), 125x50 - Rafter, 80x80 - struts, 80x50 purlin, 50x50 ceiling joists.</t>
  </si>
  <si>
    <t>Supply and constuct roof including truss members, prepainted galvanised iron sheets gauge 28 complete with nails, straps and secured with iron bars embedded into tie beam. The truss members, common rafters, gusset plates, struts, purlins and ceiling joists are in soft wood and of the following sections: 150x50 - Tie beam (double), 125x50 - Rafter, 100x50 - struts, 75x50 purlin, 50x50 ceiling joists.</t>
  </si>
  <si>
    <t>sub column (200x200)</t>
  </si>
  <si>
    <t>columns (200x200)</t>
  </si>
  <si>
    <t>10mm thick slab for the drainage sides</t>
  </si>
  <si>
    <t>Ls</t>
  </si>
  <si>
    <t>350 mm thick consolidated in layers, well watered and compacted</t>
  </si>
  <si>
    <t xml:space="preserve">Supply and fix rectangular white Amstrong ceiling boards, size 600x600x15mm on 15mm shadow gap white frame. Corridors must have acoustic ceiling boards including the fram holding   </t>
  </si>
  <si>
    <t xml:space="preserve">  Supply and fix  solid imported wood doors ,solid wood minimum 40mm thick  with stainless steel doorhandls locks and hinges, each door most have 3 hinges. Doors must be fitted with self closing hydrolic piston all must be comply with secure vy design and international standard. </t>
  </si>
  <si>
    <t xml:space="preserve"> Supply and fix alumunium windows, the alumunium window to have 2 leafs opening inwards,.he windows must have 200mm vertical window handle.security grills  for all windows-   </t>
  </si>
  <si>
    <t>Construct stone wall for steps at the entrances with non slipery tiles,also Construct stone wall for disabled ramps with handrails, construct 450mm stone wall below ground and 450mm above the ground, the ramp should be 1/12 gradient, and should have non slip surface. Price included sand fill, 150mm hardcore base, and 5cm concrete slab on top Type jointed and bedded in gauged mortar (1:3) as shown in drawing and instruction with engineer</t>
  </si>
  <si>
    <t>Construct stone wall for steps at the entrances with non slipery tiles,also Construct stone wall for disabled ramps with handrail, construct 450mm stone wall below ground and 450mm above the ground, the ramp should be 1/12 gradient, and should have non slip surface. Price included sand fill, 150mm hardcore base, and 5cm concrete slab on top Type jointed and bedded in gauged mortar (1:3) as shown in drawing and instruction with engineer</t>
  </si>
  <si>
    <t>Remove old existing main gate complete with removing all material arising from site and remove all debris from site to dedicated safe places.</t>
  </si>
  <si>
    <t>800 x 2100 mm high; single door 2</t>
  </si>
  <si>
    <t>Natural rubble stone (mix 1:3:6); bedded, jointed  and pointed in cement sand (1:3) mortar; reinforced with hoop iron after every alternate course.</t>
  </si>
  <si>
    <t>Natural rubble stone (mix 1:3:6); bedded, jointed  and pointed in cement sand (1:3) mortar; reinforced with hoop iron after every alternate course of 40cm thick.</t>
  </si>
  <si>
    <t xml:space="preserve">Natural rubble stone (mix 1:3:6); bedded, jointed  and pointed in cement sand (1:3) mortar; reinforced with hoop iron after every alternate course of 40cm thick of 40cm thick </t>
  </si>
  <si>
    <t xml:space="preserve">Natural rubble stone (mix 1:3:6); bedded, jointed  and pointed in cement sand (1:3) mortar; reinforced with hoop iron after every alternate course of 40cm thick of 40cm thick                                                            </t>
  </si>
  <si>
    <t>Sub total rehabiltation of neonatal care unit boundary wall 17m</t>
  </si>
  <si>
    <r>
      <rPr>
        <b/>
        <u/>
        <sz val="10"/>
        <color theme="1"/>
        <rFont val="Comic Sans MS"/>
        <family val="4"/>
      </rPr>
      <t>Mobilization/De-Mobilization:</t>
    </r>
    <r>
      <rPr>
        <b/>
        <sz val="10"/>
        <color theme="1"/>
        <rFont val="Comic Sans MS"/>
        <family val="4"/>
      </rPr>
      <t xml:space="preserve"> </t>
    </r>
    <r>
      <rPr>
        <sz val="10"/>
        <color theme="1"/>
        <rFont val="Comic Sans MS"/>
        <family val="4"/>
      </rPr>
      <t>The contractor shall quote all cost for requirements of tools, machineries, staff and materials, etc to fulfill the contract to the satisfaction of the client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</si>
</sst>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0.00_);_(&quot;$&quot;* \(#,##0.00\);_(&quot;$&quot;* &quot;-&quot;??_);_(@_)"/>
    <numFmt numFmtId="165" formatCode="_(* #,##0.00_);_(* \(#,##0.00\);_(* &quot;-&quot;??_);_(@_)"/>
    <numFmt numFmtId="166" formatCode="0.0"/>
  </numFmts>
  <fonts count="25" x14ac:knownFonts="1">
    <font>
      <sz val="11"/>
      <color theme="1"/>
      <name val="Calibri"/>
      <family val="2"/>
      <scheme val="minor"/>
    </font>
    <font>
      <sz val="11"/>
      <color theme="1"/>
      <name val="Calibri"/>
      <family val="2"/>
      <scheme val="minor"/>
    </font>
    <font>
      <sz val="11"/>
      <color theme="1"/>
      <name val="Calibri"/>
      <family val="2"/>
      <scheme val="minor"/>
    </font>
    <font>
      <sz val="11"/>
      <color theme="1"/>
      <name val="Comic Sans MS"/>
      <family val="4"/>
    </font>
    <font>
      <u/>
      <sz val="11"/>
      <color theme="1"/>
      <name val="Comic Sans MS"/>
      <family val="4"/>
    </font>
    <font>
      <b/>
      <u/>
      <sz val="11"/>
      <color theme="1"/>
      <name val="Comic Sans MS"/>
      <family val="4"/>
    </font>
    <font>
      <sz val="10"/>
      <name val="Arial"/>
      <family val="2"/>
    </font>
    <font>
      <b/>
      <sz val="10"/>
      <name val="Comic Sans MS"/>
      <family val="4"/>
    </font>
    <font>
      <sz val="10"/>
      <color theme="1"/>
      <name val="Comic Sans MS"/>
      <family val="4"/>
    </font>
    <font>
      <i/>
      <sz val="10"/>
      <color theme="1"/>
      <name val="Comic Sans MS"/>
      <family val="4"/>
    </font>
    <font>
      <i/>
      <sz val="11"/>
      <color theme="1"/>
      <name val="Comic Sans MS"/>
      <family val="4"/>
    </font>
    <font>
      <sz val="10"/>
      <name val="Comic Sans MS"/>
      <family val="4"/>
    </font>
    <font>
      <b/>
      <sz val="11"/>
      <color theme="1"/>
      <name val="Comic Sans MS"/>
      <family val="4"/>
    </font>
    <font>
      <sz val="12"/>
      <color theme="1"/>
      <name val="Arial Narrow"/>
      <family val="2"/>
    </font>
    <font>
      <sz val="12"/>
      <name val="Arial Narrow"/>
      <family val="2"/>
    </font>
    <font>
      <b/>
      <sz val="11"/>
      <color theme="1"/>
      <name val="Calibri"/>
      <family val="2"/>
      <scheme val="minor"/>
    </font>
    <font>
      <sz val="8"/>
      <name val="Calibri"/>
      <family val="2"/>
      <scheme val="minor"/>
    </font>
    <font>
      <b/>
      <sz val="10"/>
      <color theme="1"/>
      <name val="Comic Sans MS"/>
      <family val="4"/>
    </font>
    <font>
      <b/>
      <u/>
      <sz val="10"/>
      <color theme="1"/>
      <name val="Comic Sans MS"/>
      <family val="4"/>
    </font>
    <font>
      <u/>
      <sz val="10"/>
      <color theme="1"/>
      <name val="Comic Sans MS"/>
      <family val="4"/>
    </font>
    <font>
      <sz val="10"/>
      <color theme="1"/>
      <name val="Calibri"/>
      <family val="2"/>
      <scheme val="minor"/>
    </font>
    <font>
      <sz val="10"/>
      <name val="Arial Narrow"/>
      <family val="2"/>
    </font>
    <font>
      <sz val="10"/>
      <color theme="1"/>
      <name val="Times New Roman"/>
      <family val="1"/>
    </font>
    <font>
      <sz val="11"/>
      <color rgb="FFFF0000"/>
      <name val="Comic Sans MS"/>
      <family val="4"/>
    </font>
    <font>
      <b/>
      <i/>
      <sz val="10"/>
      <color theme="1"/>
      <name val="Comic Sans MS"/>
      <family val="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
    <xf numFmtId="0" fontId="0" fillId="0" borderId="0"/>
    <xf numFmtId="0" fontId="2" fillId="0" borderId="0"/>
    <xf numFmtId="0" fontId="6" fillId="0" borderId="0"/>
    <xf numFmtId="0" fontId="1" fillId="0" borderId="0"/>
    <xf numFmtId="0" fontId="1" fillId="0" borderId="0"/>
    <xf numFmtId="165" fontId="2" fillId="0" borderId="0" applyFont="0" applyFill="0" applyBorder="0" applyAlignment="0" applyProtection="0"/>
    <xf numFmtId="0" fontId="1" fillId="0" borderId="0"/>
    <xf numFmtId="164" fontId="1" fillId="0" borderId="0" applyFont="0" applyFill="0" applyBorder="0" applyAlignment="0" applyProtection="0"/>
    <xf numFmtId="0" fontId="6" fillId="0" borderId="0"/>
    <xf numFmtId="43" fontId="13" fillId="0" borderId="0" applyFont="0" applyFill="0" applyBorder="0" applyAlignment="0" applyProtection="0"/>
    <xf numFmtId="0" fontId="6" fillId="0" borderId="0"/>
  </cellStyleXfs>
  <cellXfs count="157">
    <xf numFmtId="0" fontId="0" fillId="0" borderId="0" xfId="0"/>
    <xf numFmtId="0" fontId="8" fillId="0" borderId="1" xfId="0" applyFont="1" applyBorder="1" applyAlignment="1">
      <alignment horizontal="left" vertical="center" wrapText="1"/>
    </xf>
    <xf numFmtId="0" fontId="3"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0" xfId="0" applyFont="1"/>
    <xf numFmtId="0" fontId="11" fillId="0" borderId="1" xfId="0" applyFont="1" applyBorder="1" applyAlignment="1" applyProtection="1">
      <alignment horizontal="left" vertical="center" wrapText="1"/>
      <protection locked="0"/>
    </xf>
    <xf numFmtId="0" fontId="3" fillId="0" borderId="1" xfId="0" applyFont="1" applyBorder="1"/>
    <xf numFmtId="0" fontId="5" fillId="0" borderId="1" xfId="1" applyFont="1" applyBorder="1" applyAlignment="1">
      <alignment vertical="center"/>
    </xf>
    <xf numFmtId="0" fontId="3" fillId="0" borderId="1" xfId="1" applyFont="1" applyBorder="1" applyAlignment="1">
      <alignment horizontal="center" vertical="center"/>
    </xf>
    <xf numFmtId="3" fontId="3" fillId="0" borderId="1" xfId="1" applyNumberFormat="1" applyFont="1" applyBorder="1" applyAlignment="1">
      <alignment horizontal="center" vertical="center"/>
    </xf>
    <xf numFmtId="1" fontId="3" fillId="0" borderId="1" xfId="2" applyNumberFormat="1" applyFont="1" applyBorder="1" applyAlignment="1">
      <alignment vertical="center" wrapText="1"/>
    </xf>
    <xf numFmtId="0" fontId="4" fillId="0" borderId="1" xfId="1" applyFont="1" applyBorder="1" applyAlignment="1">
      <alignment vertical="center"/>
    </xf>
    <xf numFmtId="0" fontId="3" fillId="0" borderId="1" xfId="1" applyFont="1" applyBorder="1" applyAlignment="1">
      <alignment vertical="center" wrapText="1"/>
    </xf>
    <xf numFmtId="0" fontId="3" fillId="0" borderId="1" xfId="1" applyFont="1" applyBorder="1" applyAlignment="1">
      <alignment vertical="center"/>
    </xf>
    <xf numFmtId="1" fontId="10" fillId="0" borderId="1" xfId="2" applyNumberFormat="1" applyFont="1" applyBorder="1" applyAlignment="1">
      <alignment vertical="center" wrapText="1"/>
    </xf>
    <xf numFmtId="164" fontId="3" fillId="0" borderId="1" xfId="7" applyFont="1" applyBorder="1"/>
    <xf numFmtId="164" fontId="3" fillId="0" borderId="0" xfId="7" applyFont="1"/>
    <xf numFmtId="0" fontId="3" fillId="0" borderId="1" xfId="0" applyFont="1" applyBorder="1" applyAlignment="1">
      <alignment horizontal="center" vertical="center"/>
    </xf>
    <xf numFmtId="0" fontId="3" fillId="0" borderId="0" xfId="0" applyFont="1" applyAlignment="1">
      <alignment horizontal="center" vertical="center"/>
    </xf>
    <xf numFmtId="1" fontId="12" fillId="0" borderId="1" xfId="2" applyNumberFormat="1" applyFont="1" applyBorder="1" applyAlignment="1">
      <alignment vertical="center" wrapText="1"/>
    </xf>
    <xf numFmtId="1" fontId="5" fillId="0" borderId="1" xfId="2" applyNumberFormat="1" applyFont="1" applyBorder="1" applyAlignment="1">
      <alignment vertical="center" wrapText="1"/>
    </xf>
    <xf numFmtId="0" fontId="12" fillId="0" borderId="1" xfId="0" applyFont="1" applyBorder="1" applyAlignment="1">
      <alignment horizontal="left" vertical="center" wrapText="1"/>
    </xf>
    <xf numFmtId="164" fontId="12" fillId="0" borderId="1" xfId="7" applyFont="1" applyBorder="1"/>
    <xf numFmtId="0" fontId="12" fillId="0" borderId="1" xfId="0" applyFont="1" applyBorder="1"/>
    <xf numFmtId="164" fontId="3" fillId="0" borderId="0" xfId="7" applyFont="1" applyAlignment="1">
      <alignment horizontal="center" vertical="center"/>
    </xf>
    <xf numFmtId="0" fontId="12" fillId="2" borderId="1" xfId="1" applyFont="1" applyFill="1" applyBorder="1" applyAlignment="1">
      <alignment horizontal="center" vertical="center"/>
    </xf>
    <xf numFmtId="0" fontId="12" fillId="2" borderId="1" xfId="1" applyFont="1" applyFill="1" applyBorder="1" applyAlignment="1">
      <alignment vertical="center"/>
    </xf>
    <xf numFmtId="0" fontId="3" fillId="2" borderId="0" xfId="0" applyFont="1" applyFill="1"/>
    <xf numFmtId="4" fontId="3" fillId="0" borderId="0" xfId="0" applyNumberFormat="1" applyFont="1" applyAlignment="1">
      <alignment horizontal="center" vertical="center"/>
    </xf>
    <xf numFmtId="164" fontId="0" fillId="0" borderId="0" xfId="7" applyFont="1"/>
    <xf numFmtId="164" fontId="12" fillId="2" borderId="1" xfId="7" applyFont="1" applyFill="1" applyBorder="1" applyAlignment="1">
      <alignment horizontal="right" vertical="center"/>
    </xf>
    <xf numFmtId="164" fontId="3" fillId="0" borderId="1" xfId="7" applyFont="1" applyBorder="1" applyAlignment="1">
      <alignment horizontal="right" vertical="center"/>
    </xf>
    <xf numFmtId="164" fontId="12" fillId="0" borderId="1" xfId="7" applyFont="1" applyBorder="1" applyAlignment="1">
      <alignment horizontal="right" vertical="center"/>
    </xf>
    <xf numFmtId="164" fontId="3" fillId="0" borderId="0" xfId="7" applyFont="1" applyAlignment="1">
      <alignment horizontal="right" vertical="center"/>
    </xf>
    <xf numFmtId="2" fontId="2" fillId="0" borderId="0" xfId="1" applyNumberFormat="1" applyAlignment="1">
      <alignment horizontal="left" vertical="center" wrapText="1"/>
    </xf>
    <xf numFmtId="2" fontId="14" fillId="0" borderId="0" xfId="1" applyNumberFormat="1" applyFont="1" applyAlignment="1">
      <alignment horizontal="left" vertical="center" wrapText="1"/>
    </xf>
    <xf numFmtId="2" fontId="12" fillId="2" borderId="1" xfId="1" applyNumberFormat="1" applyFont="1" applyFill="1" applyBorder="1" applyAlignment="1">
      <alignment horizontal="center" vertical="center"/>
    </xf>
    <xf numFmtId="2" fontId="3" fillId="0" borderId="0" xfId="0" applyNumberFormat="1" applyFont="1" applyAlignment="1">
      <alignment horizontal="center" vertical="center"/>
    </xf>
    <xf numFmtId="0" fontId="12" fillId="0" borderId="0" xfId="0" applyFont="1"/>
    <xf numFmtId="1" fontId="3" fillId="0" borderId="0" xfId="2" applyNumberFormat="1" applyFont="1" applyAlignment="1">
      <alignment vertical="center" wrapText="1"/>
    </xf>
    <xf numFmtId="0" fontId="8" fillId="0" borderId="0" xfId="0" applyFont="1" applyAlignment="1">
      <alignment horizontal="left" vertical="center" wrapText="1"/>
    </xf>
    <xf numFmtId="2" fontId="3" fillId="0" borderId="1" xfId="0" applyNumberFormat="1" applyFont="1" applyBorder="1" applyAlignment="1">
      <alignment horizontal="center" vertical="center"/>
    </xf>
    <xf numFmtId="0" fontId="3" fillId="0" borderId="0" xfId="0" applyFont="1" applyAlignment="1">
      <alignment horizontal="right"/>
    </xf>
    <xf numFmtId="164" fontId="3" fillId="0" borderId="1" xfId="0" applyNumberFormat="1" applyFont="1" applyBorder="1"/>
    <xf numFmtId="2" fontId="3" fillId="0" borderId="1" xfId="1" applyNumberFormat="1" applyFont="1" applyBorder="1" applyAlignment="1">
      <alignment horizontal="center" vertical="center"/>
    </xf>
    <xf numFmtId="2" fontId="3" fillId="2" borderId="1" xfId="1" applyNumberFormat="1" applyFont="1" applyFill="1" applyBorder="1" applyAlignment="1">
      <alignment horizontal="center" vertical="center"/>
    </xf>
    <xf numFmtId="2" fontId="3" fillId="2" borderId="1" xfId="0" applyNumberFormat="1" applyFont="1" applyFill="1" applyBorder="1" applyAlignment="1">
      <alignment horizontal="center" vertical="center"/>
    </xf>
    <xf numFmtId="0" fontId="15" fillId="0" borderId="1" xfId="0" applyFont="1" applyBorder="1"/>
    <xf numFmtId="0" fontId="15" fillId="0" borderId="0" xfId="0" applyFont="1"/>
    <xf numFmtId="0" fontId="12" fillId="0" borderId="1" xfId="0" applyFont="1" applyBorder="1" applyAlignment="1">
      <alignment horizontal="center"/>
    </xf>
    <xf numFmtId="0" fontId="3" fillId="0" borderId="1" xfId="0" applyFont="1" applyBorder="1" applyAlignment="1">
      <alignment horizontal="center"/>
    </xf>
    <xf numFmtId="0" fontId="15" fillId="0" borderId="1" xfId="0" applyFont="1" applyBorder="1" applyAlignment="1">
      <alignment horizontal="center"/>
    </xf>
    <xf numFmtId="0" fontId="0" fillId="0" borderId="0" xfId="0" applyAlignment="1">
      <alignment horizontal="center"/>
    </xf>
    <xf numFmtId="0" fontId="17" fillId="2" borderId="1" xfId="1" applyFont="1" applyFill="1" applyBorder="1" applyAlignment="1">
      <alignment horizontal="center" vertical="center"/>
    </xf>
    <xf numFmtId="0" fontId="17" fillId="2" borderId="1" xfId="1" applyFont="1" applyFill="1" applyBorder="1" applyAlignment="1">
      <alignment vertical="center"/>
    </xf>
    <xf numFmtId="4" fontId="17" fillId="2" borderId="1" xfId="1" applyNumberFormat="1" applyFont="1" applyFill="1" applyBorder="1" applyAlignment="1">
      <alignment horizontal="center" vertical="center"/>
    </xf>
    <xf numFmtId="165" fontId="7" fillId="2" borderId="1" xfId="5" applyFont="1" applyFill="1" applyBorder="1" applyAlignment="1">
      <alignment horizontal="center" vertical="center"/>
    </xf>
    <xf numFmtId="164" fontId="17" fillId="2" borderId="1" xfId="7" applyFont="1" applyFill="1" applyBorder="1" applyAlignment="1">
      <alignment horizontal="center" vertical="center"/>
    </xf>
    <xf numFmtId="0" fontId="8" fillId="0" borderId="1" xfId="0" applyFont="1" applyBorder="1"/>
    <xf numFmtId="1" fontId="8" fillId="0" borderId="1" xfId="2" applyNumberFormat="1" applyFont="1" applyBorder="1" applyAlignment="1">
      <alignment vertical="center" wrapText="1"/>
    </xf>
    <xf numFmtId="3" fontId="8" fillId="0" borderId="1" xfId="1" applyNumberFormat="1" applyFont="1" applyBorder="1" applyAlignment="1">
      <alignment horizontal="center" vertical="center"/>
    </xf>
    <xf numFmtId="4" fontId="8" fillId="0" borderId="1" xfId="1" applyNumberFormat="1" applyFont="1" applyBorder="1" applyAlignment="1">
      <alignment horizontal="center" vertical="center"/>
    </xf>
    <xf numFmtId="0" fontId="8" fillId="0" borderId="1" xfId="0" applyFont="1" applyBorder="1" applyAlignment="1">
      <alignment horizontal="center" vertical="center"/>
    </xf>
    <xf numFmtId="164" fontId="8" fillId="0" borderId="1" xfId="7" applyFont="1" applyBorder="1" applyAlignment="1">
      <alignment horizontal="center" vertical="center"/>
    </xf>
    <xf numFmtId="1" fontId="17" fillId="0" borderId="1" xfId="2" applyNumberFormat="1" applyFont="1" applyBorder="1" applyAlignment="1">
      <alignment vertical="center" wrapText="1"/>
    </xf>
    <xf numFmtId="164" fontId="17" fillId="0" borderId="1" xfId="7" applyFont="1" applyBorder="1" applyAlignment="1">
      <alignment horizontal="center" vertical="center"/>
    </xf>
    <xf numFmtId="166" fontId="8" fillId="0" borderId="1" xfId="0" applyNumberFormat="1" applyFont="1" applyBorder="1"/>
    <xf numFmtId="0" fontId="18" fillId="0" borderId="1" xfId="1" applyFont="1" applyBorder="1" applyAlignment="1">
      <alignment vertical="center"/>
    </xf>
    <xf numFmtId="0" fontId="8" fillId="0" borderId="1" xfId="1" applyFont="1" applyBorder="1" applyAlignment="1">
      <alignment horizontal="center" vertical="center"/>
    </xf>
    <xf numFmtId="0" fontId="19" fillId="0" borderId="1" xfId="1" applyFont="1" applyBorder="1" applyAlignment="1">
      <alignment vertical="center"/>
    </xf>
    <xf numFmtId="0" fontId="8" fillId="0" borderId="1" xfId="1" applyFont="1" applyBorder="1" applyAlignment="1">
      <alignment vertical="center" wrapText="1"/>
    </xf>
    <xf numFmtId="0" fontId="8" fillId="0" borderId="1" xfId="1" applyFont="1" applyBorder="1" applyAlignment="1">
      <alignment vertical="center"/>
    </xf>
    <xf numFmtId="1" fontId="18" fillId="0" borderId="1" xfId="2" applyNumberFormat="1" applyFont="1" applyBorder="1" applyAlignment="1">
      <alignment vertical="center" wrapText="1"/>
    </xf>
    <xf numFmtId="1" fontId="9" fillId="0" borderId="1" xfId="2" applyNumberFormat="1" applyFont="1" applyBorder="1" applyAlignment="1">
      <alignment vertical="center" wrapText="1"/>
    </xf>
    <xf numFmtId="4" fontId="8" fillId="0" borderId="1" xfId="0" applyNumberFormat="1" applyFont="1" applyBorder="1" applyAlignment="1">
      <alignment horizontal="center" vertical="center"/>
    </xf>
    <xf numFmtId="0" fontId="17" fillId="0" borderId="1" xfId="0" applyFont="1" applyBorder="1" applyAlignment="1">
      <alignment horizontal="left" vertical="center" wrapText="1"/>
    </xf>
    <xf numFmtId="0" fontId="17" fillId="0" borderId="1" xfId="0" applyFont="1" applyBorder="1"/>
    <xf numFmtId="0" fontId="8" fillId="0" borderId="0" xfId="0" applyFont="1"/>
    <xf numFmtId="0" fontId="17" fillId="2" borderId="1" xfId="1" applyFont="1" applyFill="1" applyBorder="1" applyAlignment="1">
      <alignment horizontal="right" vertical="center"/>
    </xf>
    <xf numFmtId="2" fontId="17" fillId="2" borderId="1" xfId="1" applyNumberFormat="1" applyFont="1" applyFill="1" applyBorder="1" applyAlignment="1">
      <alignment horizontal="center" vertical="center"/>
    </xf>
    <xf numFmtId="0" fontId="8" fillId="2" borderId="0" xfId="0" applyFont="1" applyFill="1"/>
    <xf numFmtId="1" fontId="8" fillId="0" borderId="1" xfId="2" applyNumberFormat="1" applyFont="1" applyBorder="1" applyAlignment="1">
      <alignment horizontal="right" vertical="center" wrapText="1"/>
    </xf>
    <xf numFmtId="1" fontId="8" fillId="0" borderId="1" xfId="2" applyNumberFormat="1" applyFont="1" applyBorder="1" applyAlignment="1">
      <alignment horizontal="center" vertical="center" wrapText="1"/>
    </xf>
    <xf numFmtId="2" fontId="8" fillId="0" borderId="1" xfId="2" applyNumberFormat="1" applyFont="1" applyBorder="1" applyAlignment="1">
      <alignment horizontal="center" vertical="center" wrapText="1"/>
    </xf>
    <xf numFmtId="164" fontId="8" fillId="0" borderId="1" xfId="7" applyFont="1" applyBorder="1" applyAlignment="1">
      <alignment horizontal="center" vertical="center" wrapText="1"/>
    </xf>
    <xf numFmtId="2" fontId="20" fillId="0" borderId="0" xfId="1" applyNumberFormat="1" applyFont="1" applyAlignment="1">
      <alignment horizontal="left" vertical="center" wrapText="1"/>
    </xf>
    <xf numFmtId="2" fontId="21" fillId="0" borderId="0" xfId="1" applyNumberFormat="1" applyFont="1" applyAlignment="1">
      <alignment horizontal="left" vertical="center" wrapText="1"/>
    </xf>
    <xf numFmtId="1" fontId="8" fillId="0" borderId="0" xfId="2" applyNumberFormat="1" applyFont="1" applyAlignment="1">
      <alignment vertical="center" wrapText="1"/>
    </xf>
    <xf numFmtId="1" fontId="17" fillId="0" borderId="1" xfId="2" applyNumberFormat="1" applyFont="1" applyBorder="1" applyAlignment="1">
      <alignment horizontal="right" vertical="center" wrapText="1"/>
    </xf>
    <xf numFmtId="1" fontId="17" fillId="0" borderId="1" xfId="2" applyNumberFormat="1" applyFont="1" applyBorder="1" applyAlignment="1">
      <alignment horizontal="center" vertical="center" wrapText="1"/>
    </xf>
    <xf numFmtId="2" fontId="17" fillId="0" borderId="1" xfId="2" applyNumberFormat="1" applyFont="1" applyBorder="1" applyAlignment="1">
      <alignment horizontal="center" vertical="center" wrapText="1"/>
    </xf>
    <xf numFmtId="164" fontId="17" fillId="0" borderId="1" xfId="7" applyFont="1" applyBorder="1" applyAlignment="1">
      <alignment horizontal="center" vertical="center" wrapText="1"/>
    </xf>
    <xf numFmtId="0" fontId="17" fillId="0" borderId="0" xfId="0" applyFont="1"/>
    <xf numFmtId="0" fontId="17" fillId="0" borderId="1" xfId="0" applyFont="1" applyBorder="1" applyAlignment="1">
      <alignment horizontal="right"/>
    </xf>
    <xf numFmtId="0" fontId="17" fillId="0" borderId="1" xfId="0" applyFont="1" applyBorder="1" applyAlignment="1">
      <alignment horizontal="center" vertical="center"/>
    </xf>
    <xf numFmtId="2" fontId="17" fillId="0" borderId="1" xfId="0" applyNumberFormat="1" applyFont="1" applyBorder="1" applyAlignment="1">
      <alignment horizontal="center" vertical="center"/>
    </xf>
    <xf numFmtId="0" fontId="8" fillId="0" borderId="1" xfId="0" applyFont="1" applyBorder="1" applyAlignment="1">
      <alignment horizontal="right"/>
    </xf>
    <xf numFmtId="2" fontId="8" fillId="0" borderId="1" xfId="0" applyNumberFormat="1" applyFont="1" applyBorder="1" applyAlignment="1">
      <alignment horizontal="center" vertical="center"/>
    </xf>
    <xf numFmtId="0" fontId="11" fillId="0" borderId="1" xfId="0" applyFont="1" applyBorder="1" applyAlignment="1" applyProtection="1">
      <alignment horizontal="right" vertical="center" wrapText="1"/>
      <protection locked="0"/>
    </xf>
    <xf numFmtId="0" fontId="8" fillId="0" borderId="1" xfId="0" applyFont="1" applyBorder="1" applyAlignment="1">
      <alignment wrapText="1"/>
    </xf>
    <xf numFmtId="0" fontId="11" fillId="0" borderId="1" xfId="0" applyFont="1" applyBorder="1" applyAlignment="1">
      <alignment wrapText="1"/>
    </xf>
    <xf numFmtId="0" fontId="22" fillId="0" borderId="0" xfId="0" applyFont="1" applyAlignment="1">
      <alignment horizontal="justify" vertical="center" wrapText="1"/>
    </xf>
    <xf numFmtId="164" fontId="15" fillId="0" borderId="0" xfId="7" applyFont="1"/>
    <xf numFmtId="0" fontId="23" fillId="0" borderId="0" xfId="0" applyFont="1"/>
    <xf numFmtId="165" fontId="12" fillId="2" borderId="1" xfId="5" applyFont="1" applyFill="1" applyBorder="1" applyAlignment="1">
      <alignment horizontal="center" vertical="center"/>
    </xf>
    <xf numFmtId="166" fontId="3" fillId="0" borderId="1" xfId="0" applyNumberFormat="1" applyFont="1" applyBorder="1"/>
    <xf numFmtId="0" fontId="12" fillId="0" borderId="1" xfId="3" applyFont="1" applyBorder="1" applyAlignment="1" applyProtection="1">
      <alignment horizontal="left" vertical="top" wrapText="1"/>
      <protection locked="0"/>
    </xf>
    <xf numFmtId="0" fontId="24" fillId="0" borderId="1" xfId="3" applyFont="1" applyBorder="1" applyAlignment="1" applyProtection="1">
      <alignment horizontal="left" vertical="top" wrapText="1"/>
      <protection locked="0"/>
    </xf>
    <xf numFmtId="0" fontId="12" fillId="0" borderId="1" xfId="0" applyFont="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9" fillId="0" borderId="1" xfId="0" applyFont="1" applyBorder="1" applyAlignment="1" applyProtection="1">
      <alignment wrapText="1"/>
      <protection locked="0"/>
    </xf>
    <xf numFmtId="0" fontId="8" fillId="0" borderId="1" xfId="0" applyFont="1" applyBorder="1" applyAlignment="1" applyProtection="1">
      <alignment wrapText="1"/>
      <protection locked="0"/>
    </xf>
    <xf numFmtId="0" fontId="17" fillId="0" borderId="1" xfId="0" applyFont="1" applyBorder="1" applyAlignment="1" applyProtection="1">
      <alignment wrapText="1"/>
      <protection locked="0"/>
    </xf>
    <xf numFmtId="0" fontId="24" fillId="0" borderId="1"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3" fillId="0" borderId="1" xfId="0" applyFont="1" applyBorder="1" applyAlignment="1" applyProtection="1">
      <alignment horizontal="left" vertical="center"/>
      <protection locked="0"/>
    </xf>
    <xf numFmtId="166" fontId="3" fillId="0" borderId="2" xfId="0" applyNumberFormat="1" applyFont="1" applyBorder="1"/>
    <xf numFmtId="0" fontId="3" fillId="0" borderId="2" xfId="0" applyFont="1" applyBorder="1" applyAlignment="1" applyProtection="1">
      <alignment horizontal="left" vertical="center" wrapText="1"/>
      <protection locked="0"/>
    </xf>
    <xf numFmtId="166" fontId="3" fillId="0" borderId="1" xfId="0" applyNumberFormat="1" applyFont="1" applyBorder="1" applyAlignment="1" applyProtection="1">
      <alignment horizontal="left" vertical="center" wrapText="1"/>
      <protection locked="0"/>
    </xf>
    <xf numFmtId="4" fontId="12" fillId="2" borderId="1" xfId="1" applyNumberFormat="1" applyFont="1" applyFill="1" applyBorder="1" applyAlignment="1">
      <alignment horizontal="center" vertical="center"/>
    </xf>
    <xf numFmtId="164" fontId="12" fillId="2" borderId="1" xfId="7" applyFont="1" applyFill="1" applyBorder="1" applyAlignment="1">
      <alignment horizontal="center" vertical="center"/>
    </xf>
    <xf numFmtId="4" fontId="3" fillId="0" borderId="1" xfId="1" applyNumberFormat="1" applyFont="1" applyBorder="1" applyAlignment="1">
      <alignment horizontal="center" vertical="center"/>
    </xf>
    <xf numFmtId="164" fontId="3" fillId="0" borderId="1" xfId="7" applyFont="1" applyBorder="1" applyAlignment="1">
      <alignment horizontal="center" vertical="center"/>
    </xf>
    <xf numFmtId="164" fontId="12" fillId="0" borderId="1" xfId="7" applyFont="1" applyBorder="1" applyAlignment="1">
      <alignment horizontal="center" vertical="center"/>
    </xf>
    <xf numFmtId="1" fontId="3" fillId="0" borderId="0" xfId="0" applyNumberFormat="1" applyFont="1"/>
    <xf numFmtId="1" fontId="3" fillId="2" borderId="0" xfId="0" applyNumberFormat="1" applyFont="1" applyFill="1"/>
    <xf numFmtId="4" fontId="3" fillId="0" borderId="1" xfId="0" applyNumberFormat="1" applyFont="1" applyBorder="1" applyAlignment="1">
      <alignment horizontal="center" vertical="center"/>
    </xf>
    <xf numFmtId="4" fontId="3" fillId="2" borderId="1" xfId="0" applyNumberFormat="1" applyFont="1" applyFill="1" applyBorder="1" applyAlignment="1">
      <alignment horizontal="center" vertical="center"/>
    </xf>
    <xf numFmtId="164" fontId="3" fillId="0" borderId="1" xfId="7" applyFont="1" applyFill="1" applyBorder="1" applyAlignment="1">
      <alignment horizontal="right" vertical="center"/>
    </xf>
    <xf numFmtId="3" fontId="12" fillId="2" borderId="1" xfId="1" applyNumberFormat="1" applyFont="1" applyFill="1" applyBorder="1" applyAlignment="1">
      <alignment horizontal="center" vertical="center"/>
    </xf>
    <xf numFmtId="0" fontId="3" fillId="2" borderId="1" xfId="0" applyFont="1" applyFill="1" applyBorder="1" applyAlignment="1">
      <alignment horizontal="center" vertical="center"/>
    </xf>
    <xf numFmtId="164" fontId="3" fillId="0" borderId="1" xfId="7" applyFont="1" applyBorder="1" applyAlignment="1">
      <alignment vertical="center"/>
    </xf>
    <xf numFmtId="0" fontId="3" fillId="0" borderId="3" xfId="0" applyFont="1" applyBorder="1"/>
    <xf numFmtId="0" fontId="9" fillId="0" borderId="3" xfId="0" applyFont="1" applyBorder="1" applyAlignment="1">
      <alignment horizontal="left" vertical="center" wrapText="1"/>
    </xf>
    <xf numFmtId="0" fontId="3" fillId="0" borderId="3" xfId="0" applyFont="1" applyBorder="1" applyAlignment="1">
      <alignment horizontal="center" vertical="center"/>
    </xf>
    <xf numFmtId="4" fontId="3" fillId="0" borderId="3" xfId="0" applyNumberFormat="1" applyFont="1" applyBorder="1" applyAlignment="1">
      <alignment horizontal="center" vertical="center"/>
    </xf>
    <xf numFmtId="164" fontId="3" fillId="0" borderId="3" xfId="7" applyFont="1" applyBorder="1"/>
    <xf numFmtId="0" fontId="8" fillId="0" borderId="1" xfId="0" applyFont="1" applyBorder="1" applyAlignment="1">
      <alignment horizontal="center" vertical="center" wrapText="1"/>
    </xf>
    <xf numFmtId="4" fontId="8" fillId="0" borderId="1" xfId="0" applyNumberFormat="1" applyFont="1" applyBorder="1" applyAlignment="1">
      <alignment horizontal="left" vertical="center" wrapText="1"/>
    </xf>
    <xf numFmtId="0" fontId="3" fillId="0" borderId="4" xfId="0" applyFont="1" applyBorder="1"/>
    <xf numFmtId="0" fontId="8" fillId="0" borderId="4" xfId="0" applyFont="1" applyBorder="1" applyAlignment="1">
      <alignment horizontal="left" vertical="center" wrapText="1"/>
    </xf>
    <xf numFmtId="0" fontId="3" fillId="0" borderId="4" xfId="0" applyFont="1" applyBorder="1" applyAlignment="1">
      <alignment horizontal="center" vertical="center"/>
    </xf>
    <xf numFmtId="4" fontId="3" fillId="0" borderId="4" xfId="0" applyNumberFormat="1" applyFont="1" applyBorder="1" applyAlignment="1">
      <alignment horizontal="center" vertical="center"/>
    </xf>
    <xf numFmtId="164" fontId="3" fillId="0" borderId="4" xfId="7" applyFont="1" applyBorder="1"/>
    <xf numFmtId="4" fontId="3" fillId="0" borderId="0" xfId="0" applyNumberFormat="1" applyFont="1"/>
    <xf numFmtId="0" fontId="12" fillId="0" borderId="1" xfId="0" applyFont="1" applyBorder="1" applyAlignment="1">
      <alignment horizontal="center" vertical="center"/>
    </xf>
    <xf numFmtId="4" fontId="12" fillId="0" borderId="1" xfId="0" applyNumberFormat="1" applyFont="1" applyBorder="1" applyAlignment="1">
      <alignment horizontal="center" vertical="center"/>
    </xf>
    <xf numFmtId="0" fontId="17" fillId="0" borderId="1" xfId="3" applyFont="1" applyBorder="1" applyAlignment="1" applyProtection="1">
      <alignment horizontal="left" vertical="top" wrapText="1"/>
      <protection locked="0"/>
    </xf>
    <xf numFmtId="165" fontId="17" fillId="2" borderId="1" xfId="5" applyFont="1" applyFill="1" applyBorder="1" applyAlignment="1">
      <alignment horizontal="center" vertical="center"/>
    </xf>
    <xf numFmtId="0" fontId="9" fillId="0" borderId="1" xfId="0" applyFont="1" applyBorder="1" applyAlignment="1" applyProtection="1">
      <alignment horizontal="left" vertical="center" wrapText="1"/>
      <protection locked="0"/>
    </xf>
    <xf numFmtId="0" fontId="8" fillId="0" borderId="1" xfId="0" applyFont="1" applyBorder="1" applyAlignment="1" applyProtection="1">
      <alignment horizontal="left" vertical="center"/>
      <protection locked="0"/>
    </xf>
    <xf numFmtId="166" fontId="8" fillId="0" borderId="2" xfId="0" applyNumberFormat="1" applyFont="1" applyBorder="1"/>
    <xf numFmtId="0" fontId="3" fillId="0" borderId="0" xfId="0" applyFont="1" applyAlignment="1">
      <alignment horizontal="left"/>
    </xf>
    <xf numFmtId="0" fontId="8" fillId="0" borderId="0" xfId="0" applyFont="1" applyAlignment="1">
      <alignment horizontal="left"/>
    </xf>
    <xf numFmtId="0" fontId="8" fillId="0" borderId="1" xfId="0" applyFont="1" applyBorder="1" applyAlignment="1">
      <alignment horizontal="left"/>
    </xf>
  </cellXfs>
  <cellStyles count="11">
    <cellStyle name="Comma 3" xfId="5" xr:uid="{00000000-0005-0000-0000-000000000000}"/>
    <cellStyle name="Comma 8" xfId="9" xr:uid="{00000000-0005-0000-0000-000001000000}"/>
    <cellStyle name="Currency" xfId="7" builtinId="4"/>
    <cellStyle name="Normal" xfId="0" builtinId="0"/>
    <cellStyle name="Normal 2" xfId="3" xr:uid="{00000000-0005-0000-0000-000004000000}"/>
    <cellStyle name="Normal 2 2" xfId="4" xr:uid="{00000000-0005-0000-0000-000005000000}"/>
    <cellStyle name="Normal 2 2 3" xfId="8" xr:uid="{00000000-0005-0000-0000-000006000000}"/>
    <cellStyle name="Normal 3 2" xfId="10" xr:uid="{00000000-0005-0000-0000-000007000000}"/>
    <cellStyle name="Normal 4 2" xfId="6" xr:uid="{00000000-0005-0000-0000-000008000000}"/>
    <cellStyle name="Normal 5" xfId="1" xr:uid="{00000000-0005-0000-0000-000009000000}"/>
    <cellStyle name="Normal_Sheet1" xfId="2"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
  <sheetViews>
    <sheetView tabSelected="1" zoomScale="115" zoomScaleNormal="115" workbookViewId="0">
      <selection activeCell="F14" sqref="F14"/>
    </sheetView>
  </sheetViews>
  <sheetFormatPr defaultRowHeight="14.4" x14ac:dyDescent="0.3"/>
  <cols>
    <col min="1" max="1" width="8.88671875" customWidth="1"/>
    <col min="2" max="2" width="44.88671875" customWidth="1"/>
    <col min="3" max="3" width="23.88671875" customWidth="1"/>
    <col min="4" max="4" width="9.109375" style="52"/>
    <col min="5" max="5" width="16.88671875" customWidth="1"/>
    <col min="6" max="6" width="17.88671875" style="29" customWidth="1"/>
  </cols>
  <sheetData>
    <row r="1" spans="1:6" s="4" customFormat="1" ht="15.6" x14ac:dyDescent="0.35">
      <c r="A1" s="154" t="s">
        <v>68</v>
      </c>
      <c r="B1" s="154"/>
      <c r="C1" s="154"/>
      <c r="D1" s="154"/>
      <c r="E1" s="154"/>
      <c r="F1" s="154"/>
    </row>
    <row r="2" spans="1:6" s="4" customFormat="1" ht="15.6" x14ac:dyDescent="0.35">
      <c r="A2" s="154" t="s">
        <v>193</v>
      </c>
      <c r="B2" s="154"/>
      <c r="C2" s="154"/>
      <c r="D2" s="154"/>
      <c r="E2" s="154"/>
      <c r="F2" s="154"/>
    </row>
    <row r="3" spans="1:6" s="4" customFormat="1" ht="15.6" x14ac:dyDescent="0.35">
      <c r="A3" s="154" t="s">
        <v>69</v>
      </c>
      <c r="B3" s="154"/>
      <c r="C3" s="154"/>
      <c r="D3" s="154"/>
      <c r="E3" s="154"/>
      <c r="F3" s="154"/>
    </row>
    <row r="4" spans="1:6" s="4" customFormat="1" ht="15.6" x14ac:dyDescent="0.35">
      <c r="A4" s="154"/>
      <c r="B4" s="154"/>
      <c r="C4" s="154"/>
      <c r="D4" s="154"/>
      <c r="E4" s="154"/>
      <c r="F4" s="154"/>
    </row>
    <row r="5" spans="1:6" s="38" customFormat="1" ht="16.2" x14ac:dyDescent="0.4">
      <c r="A5" s="23" t="s">
        <v>10</v>
      </c>
      <c r="B5" s="23" t="s">
        <v>63</v>
      </c>
      <c r="C5" s="23" t="s">
        <v>64</v>
      </c>
      <c r="D5" s="49" t="s">
        <v>65</v>
      </c>
      <c r="E5" s="23" t="s">
        <v>66</v>
      </c>
      <c r="F5" s="22" t="s">
        <v>67</v>
      </c>
    </row>
    <row r="6" spans="1:6" ht="15.6" x14ac:dyDescent="0.35">
      <c r="A6" s="6">
        <v>1</v>
      </c>
      <c r="B6" s="6" t="s">
        <v>121</v>
      </c>
      <c r="C6" s="6" t="s">
        <v>199</v>
      </c>
      <c r="D6" s="50">
        <v>1</v>
      </c>
      <c r="E6" s="43">
        <f>'Bill nr 1-Intensive care unit'!F113</f>
        <v>0</v>
      </c>
      <c r="F6" s="15">
        <f>E6*D6</f>
        <v>0</v>
      </c>
    </row>
    <row r="7" spans="1:6" ht="15.6" x14ac:dyDescent="0.35">
      <c r="A7" s="6">
        <v>2</v>
      </c>
      <c r="B7" s="6" t="s">
        <v>122</v>
      </c>
      <c r="C7" s="6" t="s">
        <v>200</v>
      </c>
      <c r="D7" s="50">
        <v>1</v>
      </c>
      <c r="E7" s="43">
        <f>'Bill nr 2-outpateint department'!F120</f>
        <v>0</v>
      </c>
      <c r="F7" s="15">
        <f t="shared" ref="F7:F12" si="0">E7*D7</f>
        <v>0</v>
      </c>
    </row>
    <row r="8" spans="1:6" ht="15.6" x14ac:dyDescent="0.35">
      <c r="A8" s="6">
        <v>3</v>
      </c>
      <c r="B8" s="6" t="s">
        <v>123</v>
      </c>
      <c r="C8" s="6" t="s">
        <v>201</v>
      </c>
      <c r="D8" s="50">
        <v>1</v>
      </c>
      <c r="E8" s="43">
        <f>'Bill nr 3-Dialysis ward'!F95</f>
        <v>0</v>
      </c>
      <c r="F8" s="15">
        <f t="shared" si="0"/>
        <v>0</v>
      </c>
    </row>
    <row r="9" spans="1:6" ht="15.6" x14ac:dyDescent="0.35">
      <c r="A9" s="6">
        <v>4</v>
      </c>
      <c r="B9" s="6" t="s">
        <v>124</v>
      </c>
      <c r="C9" s="6" t="s">
        <v>202</v>
      </c>
      <c r="D9" s="50">
        <v>1</v>
      </c>
      <c r="E9" s="43">
        <f>'Bill nr 4-blood bank ward'!F112</f>
        <v>0</v>
      </c>
      <c r="F9" s="15">
        <f t="shared" si="0"/>
        <v>0</v>
      </c>
    </row>
    <row r="10" spans="1:6" ht="15.6" x14ac:dyDescent="0.35">
      <c r="A10" s="6">
        <v>5</v>
      </c>
      <c r="B10" s="6" t="s">
        <v>125</v>
      </c>
      <c r="C10" s="6" t="s">
        <v>203</v>
      </c>
      <c r="D10" s="50">
        <v>1</v>
      </c>
      <c r="E10" s="43">
        <f>'Bill nr 5-Hospital canteen'!F114</f>
        <v>0</v>
      </c>
      <c r="F10" s="15">
        <f t="shared" si="0"/>
        <v>0</v>
      </c>
    </row>
    <row r="11" spans="1:6" ht="15.6" x14ac:dyDescent="0.35">
      <c r="A11" s="6">
        <v>6</v>
      </c>
      <c r="B11" s="6" t="s">
        <v>165</v>
      </c>
      <c r="C11" s="6" t="s">
        <v>204</v>
      </c>
      <c r="D11" s="50">
        <v>1</v>
      </c>
      <c r="E11" s="43">
        <f>'Bill nr 6-Mortuary room'!F80</f>
        <v>0</v>
      </c>
      <c r="F11" s="15">
        <f t="shared" si="0"/>
        <v>0</v>
      </c>
    </row>
    <row r="12" spans="1:6" ht="15.6" x14ac:dyDescent="0.35">
      <c r="A12" s="6">
        <v>7</v>
      </c>
      <c r="B12" s="6" t="s">
        <v>186</v>
      </c>
      <c r="C12" s="6" t="s">
        <v>205</v>
      </c>
      <c r="D12" s="50">
        <v>1</v>
      </c>
      <c r="E12" s="43">
        <f>'Bill nr 7-Rehabilitation works'!F60</f>
        <v>0</v>
      </c>
      <c r="F12" s="15">
        <f t="shared" si="0"/>
        <v>0</v>
      </c>
    </row>
    <row r="13" spans="1:6" s="48" customFormat="1" ht="16.2" x14ac:dyDescent="0.4">
      <c r="A13" s="47"/>
      <c r="B13" s="23" t="s">
        <v>187</v>
      </c>
      <c r="C13" s="47"/>
      <c r="D13" s="51"/>
      <c r="E13" s="47"/>
      <c r="F13" s="22">
        <f>SUM(F6:F12)</f>
        <v>0</v>
      </c>
    </row>
    <row r="14" spans="1:6" x14ac:dyDescent="0.3">
      <c r="F14" s="102"/>
    </row>
  </sheetData>
  <mergeCells count="4">
    <mergeCell ref="A1:F1"/>
    <mergeCell ref="A2:F2"/>
    <mergeCell ref="A3:F3"/>
    <mergeCell ref="A4:F4"/>
  </mergeCells>
  <phoneticPr fontId="16"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9"/>
  <sheetViews>
    <sheetView zoomScaleNormal="100" workbookViewId="0">
      <pane xSplit="5" ySplit="5" topLeftCell="F6" activePane="bottomRight" state="frozen"/>
      <selection pane="topRight" activeCell="F1" sqref="F1"/>
      <selection pane="bottomLeft" activeCell="A6" sqref="A6"/>
      <selection pane="bottomRight" activeCell="D122" sqref="D122"/>
    </sheetView>
  </sheetViews>
  <sheetFormatPr defaultColWidth="8.88671875" defaultRowHeight="15.6" x14ac:dyDescent="0.35"/>
  <cols>
    <col min="1" max="1" width="5.6640625" style="4" customWidth="1"/>
    <col min="2" max="2" width="64.6640625" style="4" customWidth="1"/>
    <col min="3" max="3" width="8.88671875" style="18"/>
    <col min="4" max="4" width="11.44140625" style="37" customWidth="1"/>
    <col min="5" max="5" width="11.109375" style="18" customWidth="1"/>
    <col min="6" max="6" width="18.6640625" style="33" customWidth="1"/>
    <col min="7" max="16384" width="8.88671875" style="4"/>
  </cols>
  <sheetData>
    <row r="1" spans="1:6" x14ac:dyDescent="0.35">
      <c r="A1" s="154" t="s">
        <v>68</v>
      </c>
      <c r="B1" s="154"/>
      <c r="C1" s="154"/>
      <c r="D1" s="154"/>
      <c r="E1" s="154"/>
      <c r="F1" s="154"/>
    </row>
    <row r="2" spans="1:6" x14ac:dyDescent="0.35">
      <c r="A2" s="154" t="s">
        <v>193</v>
      </c>
      <c r="B2" s="154"/>
      <c r="C2" s="154"/>
      <c r="D2" s="154"/>
      <c r="E2" s="154"/>
      <c r="F2" s="154"/>
    </row>
    <row r="3" spans="1:6" x14ac:dyDescent="0.35">
      <c r="A3" s="154" t="s">
        <v>69</v>
      </c>
      <c r="B3" s="154"/>
      <c r="C3" s="154"/>
      <c r="D3" s="154"/>
      <c r="E3" s="154"/>
      <c r="F3" s="154"/>
    </row>
    <row r="4" spans="1:6" x14ac:dyDescent="0.35">
      <c r="A4" s="154" t="s">
        <v>77</v>
      </c>
      <c r="B4" s="154"/>
      <c r="C4" s="154"/>
      <c r="D4" s="154"/>
      <c r="E4" s="154"/>
      <c r="F4" s="154"/>
    </row>
    <row r="5" spans="1:6" s="27" customFormat="1" ht="16.2" x14ac:dyDescent="0.35">
      <c r="A5" s="25" t="s">
        <v>10</v>
      </c>
      <c r="B5" s="26" t="s">
        <v>63</v>
      </c>
      <c r="C5" s="25" t="s">
        <v>64</v>
      </c>
      <c r="D5" s="36" t="s">
        <v>65</v>
      </c>
      <c r="E5" s="104" t="s">
        <v>66</v>
      </c>
      <c r="F5" s="30" t="s">
        <v>67</v>
      </c>
    </row>
    <row r="6" spans="1:6" ht="16.2" x14ac:dyDescent="0.35">
      <c r="A6" s="105">
        <v>1</v>
      </c>
      <c r="B6" s="7" t="s">
        <v>0</v>
      </c>
      <c r="C6" s="8"/>
      <c r="D6" s="44"/>
      <c r="E6" s="17"/>
      <c r="F6" s="31"/>
    </row>
    <row r="7" spans="1:6" ht="16.2" x14ac:dyDescent="0.35">
      <c r="A7" s="6"/>
      <c r="B7" s="7" t="s">
        <v>1</v>
      </c>
      <c r="C7" s="8"/>
      <c r="D7" s="44"/>
      <c r="E7" s="17"/>
      <c r="F7" s="31"/>
    </row>
    <row r="8" spans="1:6" ht="49.2" x14ac:dyDescent="0.35">
      <c r="A8" s="6">
        <v>1.1000000000000001</v>
      </c>
      <c r="B8" s="59" t="s">
        <v>236</v>
      </c>
      <c r="C8" s="9" t="s">
        <v>70</v>
      </c>
      <c r="D8" s="44">
        <v>1</v>
      </c>
      <c r="E8" s="17"/>
      <c r="F8" s="31">
        <f>E8*D8</f>
        <v>0</v>
      </c>
    </row>
    <row r="9" spans="1:6" ht="46.8" x14ac:dyDescent="0.35">
      <c r="A9" s="6">
        <v>1.2</v>
      </c>
      <c r="B9" s="10" t="s">
        <v>79</v>
      </c>
      <c r="C9" s="9" t="s">
        <v>222</v>
      </c>
      <c r="D9" s="44">
        <v>1</v>
      </c>
      <c r="E9" s="17"/>
      <c r="F9" s="31">
        <f>E9*D9</f>
        <v>0</v>
      </c>
    </row>
    <row r="10" spans="1:6" ht="16.2" x14ac:dyDescent="0.35">
      <c r="A10" s="6"/>
      <c r="B10" s="19" t="s">
        <v>78</v>
      </c>
      <c r="C10" s="9"/>
      <c r="D10" s="44"/>
      <c r="E10" s="17"/>
      <c r="F10" s="32">
        <f>SUM(F8:F9)</f>
        <v>0</v>
      </c>
    </row>
    <row r="11" spans="1:6" ht="16.2" x14ac:dyDescent="0.35">
      <c r="A11" s="105">
        <v>2</v>
      </c>
      <c r="B11" s="7" t="s">
        <v>3</v>
      </c>
      <c r="C11" s="8"/>
      <c r="D11" s="44"/>
      <c r="E11" s="17"/>
      <c r="F11" s="31"/>
    </row>
    <row r="12" spans="1:6" ht="16.2" x14ac:dyDescent="0.35">
      <c r="A12" s="6">
        <v>2.1</v>
      </c>
      <c r="B12" s="7" t="s">
        <v>4</v>
      </c>
      <c r="C12" s="8"/>
      <c r="D12" s="44"/>
      <c r="E12" s="17"/>
      <c r="F12" s="31"/>
    </row>
    <row r="13" spans="1:6" x14ac:dyDescent="0.35">
      <c r="A13" s="6"/>
      <c r="B13" s="11" t="s">
        <v>5</v>
      </c>
      <c r="C13" s="8"/>
      <c r="D13" s="44"/>
      <c r="E13" s="17"/>
      <c r="F13" s="31"/>
    </row>
    <row r="14" spans="1:6" ht="31.2" x14ac:dyDescent="0.35">
      <c r="A14" s="6"/>
      <c r="B14" s="10" t="s">
        <v>6</v>
      </c>
      <c r="C14" s="8" t="s">
        <v>7</v>
      </c>
      <c r="D14" s="44">
        <f>((16*3)+(6*4)+(1.8*2)+(3)+(2.2))*1*0.5</f>
        <v>40.4</v>
      </c>
      <c r="E14" s="17"/>
      <c r="F14" s="31">
        <f>E14*D14</f>
        <v>0</v>
      </c>
    </row>
    <row r="15" spans="1:6" x14ac:dyDescent="0.35">
      <c r="A15" s="6"/>
      <c r="B15" s="10" t="s">
        <v>8</v>
      </c>
      <c r="C15" s="8" t="s">
        <v>7</v>
      </c>
      <c r="D15" s="44">
        <f>1*1*1*15</f>
        <v>15</v>
      </c>
      <c r="E15" s="17"/>
      <c r="F15" s="31">
        <f t="shared" ref="F15:F46" si="0">E15*D15</f>
        <v>0</v>
      </c>
    </row>
    <row r="16" spans="1:6" ht="31.2" x14ac:dyDescent="0.35">
      <c r="A16" s="6"/>
      <c r="B16" s="12" t="s">
        <v>9</v>
      </c>
      <c r="C16" s="8" t="s">
        <v>10</v>
      </c>
      <c r="D16" s="44">
        <f>(1)</f>
        <v>1</v>
      </c>
      <c r="E16" s="17"/>
      <c r="F16" s="31">
        <f t="shared" si="0"/>
        <v>0</v>
      </c>
    </row>
    <row r="17" spans="1:6" x14ac:dyDescent="0.35">
      <c r="A17" s="6"/>
      <c r="B17" s="13" t="s">
        <v>11</v>
      </c>
      <c r="C17" s="8" t="s">
        <v>10</v>
      </c>
      <c r="D17" s="44">
        <f>(1)</f>
        <v>1</v>
      </c>
      <c r="E17" s="17"/>
      <c r="F17" s="31">
        <f t="shared" si="0"/>
        <v>0</v>
      </c>
    </row>
    <row r="18" spans="1:6" ht="16.2" x14ac:dyDescent="0.35">
      <c r="A18" s="6">
        <v>2.2000000000000002</v>
      </c>
      <c r="B18" s="7" t="s">
        <v>12</v>
      </c>
      <c r="C18" s="8"/>
      <c r="D18" s="44"/>
      <c r="E18" s="17"/>
      <c r="F18" s="31"/>
    </row>
    <row r="19" spans="1:6" x14ac:dyDescent="0.35">
      <c r="A19" s="6"/>
      <c r="B19" s="10" t="s">
        <v>13</v>
      </c>
      <c r="C19" s="8" t="s">
        <v>7</v>
      </c>
      <c r="D19" s="44">
        <f>((D14+D15)*0.3)</f>
        <v>16.619999999999997</v>
      </c>
      <c r="E19" s="17"/>
      <c r="F19" s="31">
        <f t="shared" si="0"/>
        <v>0</v>
      </c>
    </row>
    <row r="20" spans="1:6" ht="16.2" x14ac:dyDescent="0.35">
      <c r="A20" s="6">
        <v>2.2999999999999998</v>
      </c>
      <c r="B20" s="20" t="s">
        <v>14</v>
      </c>
      <c r="C20" s="8"/>
      <c r="D20" s="44"/>
      <c r="E20" s="17"/>
      <c r="F20" s="31">
        <f t="shared" si="0"/>
        <v>0</v>
      </c>
    </row>
    <row r="21" spans="1:6" x14ac:dyDescent="0.35">
      <c r="A21" s="6"/>
      <c r="B21" s="10" t="s">
        <v>15</v>
      </c>
      <c r="C21" s="8" t="s">
        <v>7</v>
      </c>
      <c r="D21" s="44">
        <f>D14+D15-D19</f>
        <v>38.78</v>
      </c>
      <c r="E21" s="17"/>
      <c r="F21" s="31">
        <f t="shared" si="0"/>
        <v>0</v>
      </c>
    </row>
    <row r="22" spans="1:6" ht="16.2" x14ac:dyDescent="0.35">
      <c r="A22" s="6">
        <v>2.4</v>
      </c>
      <c r="B22" s="20" t="s">
        <v>16</v>
      </c>
      <c r="C22" s="8"/>
      <c r="D22" s="44"/>
      <c r="E22" s="17"/>
      <c r="F22" s="31">
        <f t="shared" si="0"/>
        <v>0</v>
      </c>
    </row>
    <row r="23" spans="1:6" x14ac:dyDescent="0.35">
      <c r="A23" s="6"/>
      <c r="B23" s="10" t="s">
        <v>223</v>
      </c>
      <c r="C23" s="8" t="s">
        <v>2</v>
      </c>
      <c r="D23" s="44">
        <f>16*8*0.35</f>
        <v>44.8</v>
      </c>
      <c r="E23" s="17"/>
      <c r="F23" s="31">
        <f t="shared" si="0"/>
        <v>0</v>
      </c>
    </row>
    <row r="24" spans="1:6" x14ac:dyDescent="0.35">
      <c r="A24" s="6"/>
      <c r="B24" s="10" t="s">
        <v>17</v>
      </c>
      <c r="C24" s="8" t="s">
        <v>2</v>
      </c>
      <c r="D24" s="44">
        <f>16*8*0.05</f>
        <v>6.4</v>
      </c>
      <c r="E24" s="17"/>
      <c r="F24" s="31">
        <f t="shared" si="0"/>
        <v>0</v>
      </c>
    </row>
    <row r="25" spans="1:6" ht="16.2" x14ac:dyDescent="0.35">
      <c r="A25" s="6">
        <v>2.5</v>
      </c>
      <c r="B25" s="7" t="s">
        <v>23</v>
      </c>
      <c r="C25" s="8"/>
      <c r="D25" s="44"/>
      <c r="E25" s="17"/>
      <c r="F25" s="31">
        <f t="shared" si="0"/>
        <v>0</v>
      </c>
    </row>
    <row r="26" spans="1:6" ht="31.2" x14ac:dyDescent="0.35">
      <c r="A26" s="6"/>
      <c r="B26" s="10" t="s">
        <v>24</v>
      </c>
      <c r="C26" s="8"/>
      <c r="D26" s="44"/>
      <c r="E26" s="17"/>
      <c r="F26" s="31">
        <f t="shared" si="0"/>
        <v>0</v>
      </c>
    </row>
    <row r="27" spans="1:6" x14ac:dyDescent="0.35">
      <c r="A27" s="6"/>
      <c r="B27" s="13" t="s">
        <v>25</v>
      </c>
      <c r="C27" s="8" t="s">
        <v>7</v>
      </c>
      <c r="D27" s="44">
        <f>81*0.05*0.5</f>
        <v>2.0249999999999999</v>
      </c>
      <c r="E27" s="17"/>
      <c r="F27" s="31">
        <f t="shared" si="0"/>
        <v>0</v>
      </c>
    </row>
    <row r="28" spans="1:6" x14ac:dyDescent="0.35">
      <c r="A28" s="6"/>
      <c r="B28" s="13" t="s">
        <v>26</v>
      </c>
      <c r="C28" s="8" t="s">
        <v>7</v>
      </c>
      <c r="D28" s="44">
        <f>1*1*0.05*15</f>
        <v>0.75</v>
      </c>
      <c r="E28" s="17"/>
      <c r="F28" s="31">
        <f t="shared" si="0"/>
        <v>0</v>
      </c>
    </row>
    <row r="29" spans="1:6" ht="34.799999999999997" x14ac:dyDescent="0.35">
      <c r="A29" s="6"/>
      <c r="B29" s="14" t="s">
        <v>18</v>
      </c>
      <c r="C29" s="17"/>
      <c r="D29" s="41"/>
      <c r="E29" s="17"/>
      <c r="F29" s="31">
        <f t="shared" si="0"/>
        <v>0</v>
      </c>
    </row>
    <row r="30" spans="1:6" x14ac:dyDescent="0.35">
      <c r="A30" s="10"/>
      <c r="B30" s="10" t="s">
        <v>19</v>
      </c>
      <c r="C30" s="8" t="s">
        <v>7</v>
      </c>
      <c r="D30" s="41">
        <f>0.9*0.9*0.3*15</f>
        <v>3.645</v>
      </c>
      <c r="E30" s="17"/>
      <c r="F30" s="31">
        <f t="shared" si="0"/>
        <v>0</v>
      </c>
    </row>
    <row r="31" spans="1:6" x14ac:dyDescent="0.35">
      <c r="A31" s="10"/>
      <c r="B31" s="10" t="s">
        <v>219</v>
      </c>
      <c r="C31" s="8" t="s">
        <v>7</v>
      </c>
      <c r="D31" s="41">
        <f>0.2*0.2*1.2*15</f>
        <v>0.72000000000000008</v>
      </c>
      <c r="E31" s="17"/>
      <c r="F31" s="31">
        <f t="shared" si="0"/>
        <v>0</v>
      </c>
    </row>
    <row r="32" spans="1:6" x14ac:dyDescent="0.35">
      <c r="A32" s="10"/>
      <c r="B32" s="10" t="s">
        <v>72</v>
      </c>
      <c r="C32" s="8" t="s">
        <v>7</v>
      </c>
      <c r="D32" s="41">
        <f>81*0.2*0.4</f>
        <v>6.48</v>
      </c>
      <c r="E32" s="17"/>
      <c r="F32" s="31">
        <f t="shared" si="0"/>
        <v>0</v>
      </c>
    </row>
    <row r="33" spans="1:6" x14ac:dyDescent="0.35">
      <c r="A33" s="10"/>
      <c r="B33" s="10" t="s">
        <v>21</v>
      </c>
      <c r="C33" s="8" t="s">
        <v>22</v>
      </c>
      <c r="D33" s="41">
        <f>16*8.2*0.1</f>
        <v>13.12</v>
      </c>
      <c r="E33" s="17"/>
      <c r="F33" s="31">
        <f t="shared" si="0"/>
        <v>0</v>
      </c>
    </row>
    <row r="34" spans="1:6" x14ac:dyDescent="0.35">
      <c r="A34" s="10"/>
      <c r="B34" s="10" t="s">
        <v>221</v>
      </c>
      <c r="C34" s="8" t="s">
        <v>131</v>
      </c>
      <c r="D34" s="41">
        <f>16*2*0.1*1</f>
        <v>3.2</v>
      </c>
      <c r="E34" s="17"/>
      <c r="F34" s="31">
        <f t="shared" si="0"/>
        <v>0</v>
      </c>
    </row>
    <row r="35" spans="1:6" ht="46.8" x14ac:dyDescent="0.35">
      <c r="A35" s="6"/>
      <c r="B35" s="10" t="s">
        <v>20</v>
      </c>
      <c r="C35" s="8" t="s">
        <v>2</v>
      </c>
      <c r="D35" s="41">
        <f>16*8.2</f>
        <v>131.19999999999999</v>
      </c>
      <c r="E35" s="17"/>
      <c r="F35" s="31">
        <f t="shared" si="0"/>
        <v>0</v>
      </c>
    </row>
    <row r="36" spans="1:6" ht="16.2" x14ac:dyDescent="0.35">
      <c r="A36" s="6">
        <v>2.6</v>
      </c>
      <c r="B36" s="106" t="s">
        <v>27</v>
      </c>
      <c r="C36" s="17"/>
      <c r="D36" s="41"/>
      <c r="E36" s="17"/>
      <c r="F36" s="31">
        <f t="shared" si="0"/>
        <v>0</v>
      </c>
    </row>
    <row r="37" spans="1:6" ht="62.4" x14ac:dyDescent="0.35">
      <c r="A37" s="6"/>
      <c r="B37" s="2" t="s">
        <v>28</v>
      </c>
      <c r="C37" s="8" t="s">
        <v>2</v>
      </c>
      <c r="D37" s="41">
        <f>D33-D32</f>
        <v>6.6399999999999988</v>
      </c>
      <c r="E37" s="17"/>
      <c r="F37" s="31">
        <f t="shared" si="0"/>
        <v>0</v>
      </c>
    </row>
    <row r="38" spans="1:6" ht="16.2" x14ac:dyDescent="0.35">
      <c r="A38" s="6">
        <v>2.7</v>
      </c>
      <c r="B38" s="106" t="s">
        <v>29</v>
      </c>
      <c r="C38" s="17"/>
      <c r="D38" s="41"/>
      <c r="E38" s="17"/>
      <c r="F38" s="31">
        <f t="shared" si="0"/>
        <v>0</v>
      </c>
    </row>
    <row r="39" spans="1:6" ht="46.8" x14ac:dyDescent="0.35">
      <c r="A39" s="6"/>
      <c r="B39" s="2" t="s">
        <v>30</v>
      </c>
      <c r="C39" s="8" t="s">
        <v>2</v>
      </c>
      <c r="D39" s="41">
        <f>D37</f>
        <v>6.6399999999999988</v>
      </c>
      <c r="E39" s="17"/>
      <c r="F39" s="31">
        <f t="shared" si="0"/>
        <v>0</v>
      </c>
    </row>
    <row r="40" spans="1:6" ht="16.2" x14ac:dyDescent="0.35">
      <c r="A40" s="6">
        <v>2.8</v>
      </c>
      <c r="B40" s="106" t="s">
        <v>31</v>
      </c>
      <c r="C40" s="17"/>
      <c r="D40" s="41"/>
      <c r="E40" s="17"/>
      <c r="F40" s="31">
        <f t="shared" si="0"/>
        <v>0</v>
      </c>
    </row>
    <row r="41" spans="1:6" ht="48.6" x14ac:dyDescent="0.35">
      <c r="A41" s="6"/>
      <c r="B41" s="3" t="s">
        <v>80</v>
      </c>
      <c r="C41" s="17"/>
      <c r="D41" s="41"/>
      <c r="E41" s="17"/>
      <c r="F41" s="31">
        <f t="shared" si="0"/>
        <v>0</v>
      </c>
    </row>
    <row r="42" spans="1:6" ht="16.2" x14ac:dyDescent="0.35">
      <c r="A42" s="6"/>
      <c r="B42" s="1" t="s">
        <v>34</v>
      </c>
      <c r="C42" s="17" t="s">
        <v>7</v>
      </c>
      <c r="D42" s="41">
        <f>81*0.4*1.1</f>
        <v>35.64</v>
      </c>
      <c r="E42" s="17"/>
      <c r="F42" s="31">
        <f t="shared" si="0"/>
        <v>0</v>
      </c>
    </row>
    <row r="43" spans="1:6" ht="16.2" x14ac:dyDescent="0.35">
      <c r="A43" s="6">
        <v>2.9</v>
      </c>
      <c r="B43" s="1" t="s">
        <v>166</v>
      </c>
      <c r="C43" s="17"/>
      <c r="D43" s="41"/>
      <c r="E43" s="17"/>
      <c r="F43" s="31">
        <f t="shared" si="0"/>
        <v>0</v>
      </c>
    </row>
    <row r="44" spans="1:6" ht="113.4" x14ac:dyDescent="0.35">
      <c r="A44" s="6"/>
      <c r="B44" s="3" t="s">
        <v>227</v>
      </c>
      <c r="C44" s="8" t="s">
        <v>126</v>
      </c>
      <c r="D44" s="44">
        <v>1</v>
      </c>
      <c r="E44" s="8"/>
      <c r="F44" s="31">
        <f t="shared" si="0"/>
        <v>0</v>
      </c>
    </row>
    <row r="45" spans="1:6" ht="16.2" x14ac:dyDescent="0.35">
      <c r="A45" s="6"/>
      <c r="B45" s="107" t="s">
        <v>32</v>
      </c>
      <c r="C45" s="17"/>
      <c r="D45" s="41"/>
      <c r="E45" s="17"/>
      <c r="F45" s="31">
        <f t="shared" si="0"/>
        <v>0</v>
      </c>
    </row>
    <row r="46" spans="1:6" ht="16.2" x14ac:dyDescent="0.35">
      <c r="A46" s="6"/>
      <c r="B46" s="1" t="s">
        <v>33</v>
      </c>
      <c r="C46" s="17" t="s">
        <v>2</v>
      </c>
      <c r="D46" s="41">
        <f>81*1</f>
        <v>81</v>
      </c>
      <c r="E46" s="17"/>
      <c r="F46" s="31">
        <f t="shared" si="0"/>
        <v>0</v>
      </c>
    </row>
    <row r="47" spans="1:6" ht="16.2" x14ac:dyDescent="0.35">
      <c r="A47" s="6"/>
      <c r="B47" s="21" t="s">
        <v>83</v>
      </c>
      <c r="C47" s="17"/>
      <c r="D47" s="41"/>
      <c r="E47" s="17"/>
      <c r="F47" s="32">
        <f>SUM(F14:F46)</f>
        <v>0</v>
      </c>
    </row>
    <row r="48" spans="1:6" ht="16.2" x14ac:dyDescent="0.35">
      <c r="A48" s="105">
        <v>3</v>
      </c>
      <c r="B48" s="21" t="s">
        <v>81</v>
      </c>
      <c r="C48" s="17"/>
      <c r="D48" s="41"/>
      <c r="E48" s="17"/>
      <c r="F48" s="31"/>
    </row>
    <row r="49" spans="1:6" ht="16.2" x14ac:dyDescent="0.35">
      <c r="A49" s="6">
        <v>3.1</v>
      </c>
      <c r="B49" s="108" t="s">
        <v>37</v>
      </c>
      <c r="C49" s="17"/>
      <c r="D49" s="41"/>
      <c r="E49" s="17"/>
      <c r="F49" s="31"/>
    </row>
    <row r="50" spans="1:6" ht="34.799999999999997" x14ac:dyDescent="0.35">
      <c r="A50" s="6"/>
      <c r="B50" s="14" t="s">
        <v>18</v>
      </c>
      <c r="C50" s="17"/>
      <c r="D50" s="41"/>
      <c r="E50" s="17"/>
      <c r="F50" s="31"/>
    </row>
    <row r="51" spans="1:6" x14ac:dyDescent="0.35">
      <c r="A51" s="6"/>
      <c r="B51" s="109" t="s">
        <v>38</v>
      </c>
      <c r="C51" s="17" t="s">
        <v>7</v>
      </c>
      <c r="D51" s="41">
        <f>0.2*0.2*3.4*15</f>
        <v>2.04</v>
      </c>
      <c r="E51" s="17"/>
      <c r="F51" s="31">
        <f>E51*D51</f>
        <v>0</v>
      </c>
    </row>
    <row r="52" spans="1:6" x14ac:dyDescent="0.35">
      <c r="A52" s="6"/>
      <c r="B52" s="109" t="s">
        <v>39</v>
      </c>
      <c r="C52" s="17" t="s">
        <v>7</v>
      </c>
      <c r="D52" s="41">
        <f>81*0.2*0.2</f>
        <v>3.24</v>
      </c>
      <c r="E52" s="17"/>
      <c r="F52" s="31">
        <f t="shared" ref="F52:F68" si="1">E52*D52</f>
        <v>0</v>
      </c>
    </row>
    <row r="53" spans="1:6" x14ac:dyDescent="0.35">
      <c r="A53" s="6"/>
      <c r="B53" s="109" t="s">
        <v>40</v>
      </c>
      <c r="C53" s="17" t="s">
        <v>7</v>
      </c>
      <c r="D53" s="41">
        <f>81*0.2*0.2</f>
        <v>3.24</v>
      </c>
      <c r="E53" s="17"/>
      <c r="F53" s="31">
        <f t="shared" si="1"/>
        <v>0</v>
      </c>
    </row>
    <row r="54" spans="1:6" ht="16.2" x14ac:dyDescent="0.35">
      <c r="A54" s="6">
        <v>3.2</v>
      </c>
      <c r="B54" s="108" t="s">
        <v>35</v>
      </c>
      <c r="C54" s="17"/>
      <c r="D54" s="41"/>
      <c r="E54" s="17"/>
      <c r="F54" s="31">
        <f t="shared" si="1"/>
        <v>0</v>
      </c>
    </row>
    <row r="55" spans="1:6" ht="52.2" x14ac:dyDescent="0.35">
      <c r="A55" s="6"/>
      <c r="B55" s="110" t="s">
        <v>41</v>
      </c>
      <c r="C55" s="17"/>
      <c r="D55" s="41"/>
      <c r="E55" s="17"/>
      <c r="F55" s="31">
        <f t="shared" si="1"/>
        <v>0</v>
      </c>
    </row>
    <row r="56" spans="1:6" x14ac:dyDescent="0.35">
      <c r="A56" s="6"/>
      <c r="B56" s="109" t="s">
        <v>135</v>
      </c>
      <c r="C56" s="17" t="s">
        <v>2</v>
      </c>
      <c r="D56" s="46">
        <f>(((81-16)*3)+(11.6*1)+(2*(0.5*1.85*6))+(0.5*0.7*1.8))-((1.5*1.2*5)+(1.5*2.1)+(0.7*2)+(3.2+8))</f>
        <v>193.57999999999998</v>
      </c>
      <c r="E56" s="17"/>
      <c r="F56" s="31">
        <f t="shared" si="1"/>
        <v>0</v>
      </c>
    </row>
    <row r="57" spans="1:6" ht="16.8" x14ac:dyDescent="0.35">
      <c r="A57" s="6">
        <v>3.3</v>
      </c>
      <c r="B57" s="111" t="s">
        <v>42</v>
      </c>
      <c r="C57" s="17"/>
      <c r="D57" s="41"/>
      <c r="E57" s="17"/>
      <c r="F57" s="31">
        <f t="shared" si="1"/>
        <v>0</v>
      </c>
    </row>
    <row r="58" spans="1:6" ht="16.2" x14ac:dyDescent="0.4">
      <c r="A58" s="6"/>
      <c r="B58" s="112" t="s">
        <v>43</v>
      </c>
      <c r="C58" s="17"/>
      <c r="D58" s="41"/>
      <c r="E58" s="17"/>
      <c r="F58" s="31">
        <f t="shared" si="1"/>
        <v>0</v>
      </c>
    </row>
    <row r="59" spans="1:6" ht="16.2" customHeight="1" x14ac:dyDescent="0.4">
      <c r="A59" s="6"/>
      <c r="B59" s="113" t="s">
        <v>44</v>
      </c>
      <c r="C59" s="17" t="s">
        <v>2</v>
      </c>
      <c r="D59" s="41">
        <f>D56*2</f>
        <v>387.15999999999997</v>
      </c>
      <c r="E59" s="17"/>
      <c r="F59" s="31">
        <f t="shared" si="1"/>
        <v>0</v>
      </c>
    </row>
    <row r="60" spans="1:6" ht="33" customHeight="1" x14ac:dyDescent="0.4">
      <c r="A60" s="6"/>
      <c r="B60" s="112" t="s">
        <v>45</v>
      </c>
      <c r="C60" s="17"/>
      <c r="D60" s="41"/>
      <c r="E60" s="17"/>
      <c r="F60" s="31">
        <f t="shared" si="1"/>
        <v>0</v>
      </c>
    </row>
    <row r="61" spans="1:6" ht="16.2" x14ac:dyDescent="0.4">
      <c r="A61" s="6"/>
      <c r="B61" s="113" t="s">
        <v>46</v>
      </c>
      <c r="C61" s="17" t="s">
        <v>2</v>
      </c>
      <c r="D61" s="41">
        <f>D59</f>
        <v>387.15999999999997</v>
      </c>
      <c r="E61" s="17"/>
      <c r="F61" s="31">
        <f t="shared" si="1"/>
        <v>0</v>
      </c>
    </row>
    <row r="62" spans="1:6" ht="16.8" x14ac:dyDescent="0.45">
      <c r="A62" s="6">
        <v>3.4</v>
      </c>
      <c r="B62" s="114" t="s">
        <v>50</v>
      </c>
      <c r="C62" s="17"/>
      <c r="D62" s="41"/>
      <c r="E62" s="17"/>
      <c r="F62" s="31">
        <f t="shared" si="1"/>
        <v>0</v>
      </c>
    </row>
    <row r="63" spans="1:6" ht="32.4" x14ac:dyDescent="0.4">
      <c r="A63" s="6"/>
      <c r="B63" s="113" t="s">
        <v>47</v>
      </c>
      <c r="C63" s="17" t="s">
        <v>2</v>
      </c>
      <c r="D63" s="46">
        <f>((3.3*2)+(1.6*2))*4</f>
        <v>39.200000000000003</v>
      </c>
      <c r="E63" s="17"/>
      <c r="F63" s="31">
        <f t="shared" si="1"/>
        <v>0</v>
      </c>
    </row>
    <row r="64" spans="1:6" ht="48.6" x14ac:dyDescent="0.4">
      <c r="A64" s="6"/>
      <c r="B64" s="113" t="s">
        <v>51</v>
      </c>
      <c r="C64" s="17" t="s">
        <v>2</v>
      </c>
      <c r="D64" s="41">
        <f>D63</f>
        <v>39.200000000000003</v>
      </c>
      <c r="E64" s="17"/>
      <c r="F64" s="31">
        <f t="shared" si="1"/>
        <v>0</v>
      </c>
    </row>
    <row r="65" spans="1:6" ht="16.8" x14ac:dyDescent="0.45">
      <c r="A65" s="6">
        <v>3.5</v>
      </c>
      <c r="B65" s="114" t="s">
        <v>48</v>
      </c>
      <c r="C65" s="17"/>
      <c r="D65" s="41"/>
      <c r="E65" s="17"/>
      <c r="F65" s="31">
        <f t="shared" si="1"/>
        <v>0</v>
      </c>
    </row>
    <row r="66" spans="1:6" ht="32.4" x14ac:dyDescent="0.4">
      <c r="A66" s="6"/>
      <c r="B66" s="113" t="s">
        <v>49</v>
      </c>
      <c r="C66" s="17" t="s">
        <v>2</v>
      </c>
      <c r="D66" s="41">
        <f>16*8</f>
        <v>128</v>
      </c>
      <c r="E66" s="17"/>
      <c r="F66" s="31">
        <f t="shared" si="1"/>
        <v>0</v>
      </c>
    </row>
    <row r="67" spans="1:6" ht="52.2" customHeight="1" x14ac:dyDescent="0.4">
      <c r="A67" s="6"/>
      <c r="B67" s="113" t="s">
        <v>194</v>
      </c>
      <c r="C67" s="17" t="s">
        <v>2</v>
      </c>
      <c r="D67" s="41">
        <f>D66</f>
        <v>128</v>
      </c>
      <c r="E67" s="17"/>
      <c r="F67" s="31">
        <f t="shared" si="1"/>
        <v>0</v>
      </c>
    </row>
    <row r="68" spans="1:6" ht="37.200000000000003" customHeight="1" x14ac:dyDescent="0.4">
      <c r="A68" s="6"/>
      <c r="B68" s="113" t="s">
        <v>117</v>
      </c>
      <c r="C68" s="17" t="s">
        <v>214</v>
      </c>
      <c r="D68" s="41">
        <v>99.2</v>
      </c>
      <c r="E68" s="17"/>
      <c r="F68" s="31">
        <f t="shared" si="1"/>
        <v>0</v>
      </c>
    </row>
    <row r="69" spans="1:6" ht="16.2" customHeight="1" x14ac:dyDescent="0.45">
      <c r="A69" s="6"/>
      <c r="B69" s="114" t="s">
        <v>82</v>
      </c>
      <c r="C69" s="17"/>
      <c r="D69" s="41"/>
      <c r="E69" s="17"/>
      <c r="F69" s="32">
        <f>SUM(F51:F68)</f>
        <v>0</v>
      </c>
    </row>
    <row r="70" spans="1:6" ht="16.8" x14ac:dyDescent="0.45">
      <c r="A70" s="105">
        <v>4</v>
      </c>
      <c r="B70" s="114" t="s">
        <v>84</v>
      </c>
      <c r="C70" s="17"/>
      <c r="D70" s="41"/>
      <c r="E70" s="17"/>
      <c r="F70" s="31"/>
    </row>
    <row r="71" spans="1:6" ht="16.2" x14ac:dyDescent="0.35">
      <c r="A71" s="6">
        <v>4.0999999999999996</v>
      </c>
      <c r="B71" s="115" t="s">
        <v>85</v>
      </c>
      <c r="C71" s="17"/>
      <c r="D71" s="41"/>
      <c r="E71" s="17"/>
      <c r="F71" s="31"/>
    </row>
    <row r="72" spans="1:6" ht="109.2" x14ac:dyDescent="0.35">
      <c r="A72" s="6"/>
      <c r="B72" s="109" t="s">
        <v>217</v>
      </c>
      <c r="C72" s="17" t="s">
        <v>2</v>
      </c>
      <c r="D72" s="41">
        <f>16*8*1.1</f>
        <v>140.80000000000001</v>
      </c>
      <c r="E72" s="17"/>
      <c r="F72" s="31">
        <f>E72*D72</f>
        <v>0</v>
      </c>
    </row>
    <row r="73" spans="1:6" ht="16.2" x14ac:dyDescent="0.35">
      <c r="A73" s="6">
        <v>4.2</v>
      </c>
      <c r="B73" s="115" t="s">
        <v>59</v>
      </c>
      <c r="C73" s="17"/>
      <c r="D73" s="41"/>
      <c r="E73" s="17"/>
      <c r="F73" s="31">
        <f t="shared" ref="F73:F76" si="2">E73*D73</f>
        <v>0</v>
      </c>
    </row>
    <row r="74" spans="1:6" ht="48.6" x14ac:dyDescent="0.35">
      <c r="A74" s="6"/>
      <c r="B74" s="116" t="s">
        <v>224</v>
      </c>
      <c r="C74" s="17" t="s">
        <v>2</v>
      </c>
      <c r="D74" s="41">
        <f>16*8</f>
        <v>128</v>
      </c>
      <c r="E74" s="17"/>
      <c r="F74" s="31">
        <f t="shared" si="2"/>
        <v>0</v>
      </c>
    </row>
    <row r="75" spans="1:6" ht="16.2" x14ac:dyDescent="0.35">
      <c r="A75" s="6"/>
      <c r="B75" s="115" t="s">
        <v>60</v>
      </c>
      <c r="C75" s="17"/>
      <c r="D75" s="41"/>
      <c r="E75" s="17"/>
      <c r="F75" s="31">
        <f t="shared" si="2"/>
        <v>0</v>
      </c>
    </row>
    <row r="76" spans="1:6" x14ac:dyDescent="0.35">
      <c r="A76" s="6"/>
      <c r="B76" s="109" t="s">
        <v>61</v>
      </c>
      <c r="C76" s="17" t="s">
        <v>87</v>
      </c>
      <c r="D76" s="41">
        <v>43</v>
      </c>
      <c r="E76" s="17"/>
      <c r="F76" s="31">
        <f t="shared" si="2"/>
        <v>0</v>
      </c>
    </row>
    <row r="77" spans="1:6" ht="16.2" x14ac:dyDescent="0.35">
      <c r="A77" s="6"/>
      <c r="B77" s="108" t="s">
        <v>86</v>
      </c>
      <c r="C77" s="17"/>
      <c r="D77" s="41"/>
      <c r="E77" s="17"/>
      <c r="F77" s="32">
        <f>SUM(F72:F76)</f>
        <v>0</v>
      </c>
    </row>
    <row r="78" spans="1:6" ht="16.2" x14ac:dyDescent="0.35">
      <c r="A78" s="105">
        <v>5</v>
      </c>
      <c r="B78" s="108" t="s">
        <v>89</v>
      </c>
      <c r="C78" s="17"/>
      <c r="D78" s="41"/>
      <c r="E78" s="17"/>
      <c r="F78" s="31"/>
    </row>
    <row r="79" spans="1:6" x14ac:dyDescent="0.35">
      <c r="A79" s="6">
        <v>5.0999999999999996</v>
      </c>
      <c r="B79" s="6" t="s">
        <v>88</v>
      </c>
      <c r="C79" s="17"/>
      <c r="D79" s="41"/>
      <c r="E79" s="17"/>
      <c r="F79" s="31"/>
    </row>
    <row r="80" spans="1:6" ht="78" x14ac:dyDescent="0.35">
      <c r="A80" s="6"/>
      <c r="B80" s="109" t="s">
        <v>225</v>
      </c>
      <c r="C80" s="17"/>
      <c r="D80" s="41"/>
      <c r="E80" s="17"/>
      <c r="F80" s="31"/>
    </row>
    <row r="81" spans="1:6" x14ac:dyDescent="0.35">
      <c r="A81" s="6"/>
      <c r="B81" s="117" t="s">
        <v>73</v>
      </c>
      <c r="C81" s="17" t="s">
        <v>62</v>
      </c>
      <c r="D81" s="41">
        <v>1</v>
      </c>
      <c r="E81" s="17"/>
      <c r="F81" s="31">
        <f>E81*D81</f>
        <v>0</v>
      </c>
    </row>
    <row r="82" spans="1:6" x14ac:dyDescent="0.35">
      <c r="A82" s="6"/>
      <c r="B82" s="117" t="s">
        <v>74</v>
      </c>
      <c r="C82" s="17" t="s">
        <v>62</v>
      </c>
      <c r="D82" s="41">
        <v>1</v>
      </c>
      <c r="E82" s="17"/>
      <c r="F82" s="31">
        <f t="shared" ref="F82:F89" si="3">E82*D82</f>
        <v>0</v>
      </c>
    </row>
    <row r="83" spans="1:6" ht="16.2" x14ac:dyDescent="0.35">
      <c r="A83" s="6">
        <v>5.2</v>
      </c>
      <c r="B83" s="108" t="s">
        <v>53</v>
      </c>
      <c r="C83" s="17"/>
      <c r="D83" s="41"/>
      <c r="E83" s="17"/>
      <c r="F83" s="31"/>
    </row>
    <row r="84" spans="1:6" ht="78" x14ac:dyDescent="0.35">
      <c r="A84" s="6"/>
      <c r="B84" s="109" t="s">
        <v>54</v>
      </c>
      <c r="C84" s="17"/>
      <c r="D84" s="41"/>
      <c r="E84" s="17"/>
      <c r="F84" s="31"/>
    </row>
    <row r="85" spans="1:6" x14ac:dyDescent="0.35">
      <c r="A85" s="6"/>
      <c r="B85" s="109" t="s">
        <v>230</v>
      </c>
      <c r="C85" s="17" t="s">
        <v>2</v>
      </c>
      <c r="D85" s="41">
        <f>2.1*0.8*2</f>
        <v>3.3600000000000003</v>
      </c>
      <c r="E85" s="17"/>
      <c r="F85" s="31">
        <f>E85*D85</f>
        <v>0</v>
      </c>
    </row>
    <row r="86" spans="1:6" ht="16.2" x14ac:dyDescent="0.35">
      <c r="A86" s="6">
        <v>5.3</v>
      </c>
      <c r="B86" s="108" t="s">
        <v>55</v>
      </c>
      <c r="C86" s="17"/>
      <c r="D86" s="41"/>
      <c r="E86" s="17"/>
      <c r="F86" s="31"/>
    </row>
    <row r="87" spans="1:6" ht="46.8" x14ac:dyDescent="0.35">
      <c r="A87" s="6"/>
      <c r="B87" s="109" t="s">
        <v>226</v>
      </c>
      <c r="C87" s="17"/>
      <c r="D87" s="41"/>
      <c r="E87" s="17"/>
      <c r="F87" s="31"/>
    </row>
    <row r="88" spans="1:6" x14ac:dyDescent="0.35">
      <c r="A88" s="6"/>
      <c r="B88" s="109" t="s">
        <v>76</v>
      </c>
      <c r="C88" s="17" t="s">
        <v>22</v>
      </c>
      <c r="D88" s="41">
        <f>5*1.5*1.2</f>
        <v>9</v>
      </c>
      <c r="E88" s="17"/>
      <c r="F88" s="31">
        <f t="shared" si="3"/>
        <v>0</v>
      </c>
    </row>
    <row r="89" spans="1:6" x14ac:dyDescent="0.35">
      <c r="A89" s="6"/>
      <c r="B89" s="109" t="s">
        <v>57</v>
      </c>
      <c r="C89" s="17" t="s">
        <v>22</v>
      </c>
      <c r="D89" s="41">
        <f>2*0.6*0.6</f>
        <v>0.72</v>
      </c>
      <c r="E89" s="17"/>
      <c r="F89" s="31">
        <f t="shared" si="3"/>
        <v>0</v>
      </c>
    </row>
    <row r="90" spans="1:6" ht="16.2" x14ac:dyDescent="0.4">
      <c r="A90" s="6"/>
      <c r="B90" s="23" t="s">
        <v>90</v>
      </c>
      <c r="C90" s="17"/>
      <c r="D90" s="41"/>
      <c r="E90" s="17"/>
      <c r="F90" s="32">
        <f>SUM(F81:F89)</f>
        <v>0</v>
      </c>
    </row>
    <row r="91" spans="1:6" ht="16.2" x14ac:dyDescent="0.4">
      <c r="A91" s="118">
        <v>6</v>
      </c>
      <c r="B91" s="23" t="s">
        <v>101</v>
      </c>
      <c r="C91" s="17"/>
      <c r="D91" s="41"/>
      <c r="E91" s="17"/>
      <c r="F91" s="31"/>
    </row>
    <row r="92" spans="1:6" ht="78" x14ac:dyDescent="0.35">
      <c r="A92" s="119">
        <v>6.1</v>
      </c>
      <c r="B92" s="109" t="s">
        <v>92</v>
      </c>
      <c r="C92" s="17" t="s">
        <v>214</v>
      </c>
      <c r="D92" s="41">
        <v>14</v>
      </c>
      <c r="E92" s="17"/>
      <c r="F92" s="31">
        <f>E92*D92</f>
        <v>0</v>
      </c>
    </row>
    <row r="93" spans="1:6" ht="61.95" customHeight="1" x14ac:dyDescent="0.35">
      <c r="A93" s="119">
        <v>6.2</v>
      </c>
      <c r="B93" s="109" t="s">
        <v>115</v>
      </c>
      <c r="C93" s="17" t="s">
        <v>62</v>
      </c>
      <c r="D93" s="41">
        <v>14</v>
      </c>
      <c r="E93" s="17"/>
      <c r="F93" s="31">
        <f t="shared" ref="F93:F98" si="4">E93*D93</f>
        <v>0</v>
      </c>
    </row>
    <row r="94" spans="1:6" ht="46.8" x14ac:dyDescent="0.35">
      <c r="A94" s="119">
        <v>6.3</v>
      </c>
      <c r="B94" s="109" t="s">
        <v>93</v>
      </c>
      <c r="C94" s="17" t="s">
        <v>62</v>
      </c>
      <c r="D94" s="41">
        <v>15</v>
      </c>
      <c r="E94" s="17"/>
      <c r="F94" s="31">
        <f t="shared" si="4"/>
        <v>0</v>
      </c>
    </row>
    <row r="95" spans="1:6" ht="93.6" x14ac:dyDescent="0.35">
      <c r="A95" s="119">
        <v>6.4</v>
      </c>
      <c r="B95" s="109" t="s">
        <v>94</v>
      </c>
      <c r="C95" s="17" t="s">
        <v>62</v>
      </c>
      <c r="D95" s="41">
        <v>5</v>
      </c>
      <c r="E95" s="17"/>
      <c r="F95" s="31">
        <f t="shared" si="4"/>
        <v>0</v>
      </c>
    </row>
    <row r="96" spans="1:6" ht="62.4" x14ac:dyDescent="0.35">
      <c r="A96" s="119">
        <v>6.5</v>
      </c>
      <c r="B96" s="109" t="s">
        <v>216</v>
      </c>
      <c r="C96" s="17" t="s">
        <v>62</v>
      </c>
      <c r="D96" s="41">
        <v>1</v>
      </c>
      <c r="E96" s="17"/>
      <c r="F96" s="31">
        <f t="shared" si="4"/>
        <v>0</v>
      </c>
    </row>
    <row r="97" spans="1:6" ht="62.4" x14ac:dyDescent="0.35">
      <c r="A97" s="119">
        <v>6.8</v>
      </c>
      <c r="B97" s="109" t="s">
        <v>95</v>
      </c>
      <c r="C97" s="17" t="s">
        <v>70</v>
      </c>
      <c r="D97" s="41">
        <v>1</v>
      </c>
      <c r="E97" s="17"/>
      <c r="F97" s="31">
        <f t="shared" si="4"/>
        <v>0</v>
      </c>
    </row>
    <row r="98" spans="1:6" x14ac:dyDescent="0.35">
      <c r="A98" s="119">
        <v>6.9</v>
      </c>
      <c r="B98" s="109" t="s">
        <v>103</v>
      </c>
      <c r="C98" s="17" t="s">
        <v>70</v>
      </c>
      <c r="D98" s="41">
        <v>1</v>
      </c>
      <c r="E98" s="17"/>
      <c r="F98" s="31">
        <f t="shared" si="4"/>
        <v>0</v>
      </c>
    </row>
    <row r="99" spans="1:6" ht="16.2" x14ac:dyDescent="0.4">
      <c r="A99" s="6"/>
      <c r="B99" s="23" t="s">
        <v>104</v>
      </c>
      <c r="C99" s="17"/>
      <c r="D99" s="41"/>
      <c r="E99" s="17"/>
      <c r="F99" s="31">
        <f>SUM(F92:F98)</f>
        <v>0</v>
      </c>
    </row>
    <row r="100" spans="1:6" ht="16.2" x14ac:dyDescent="0.35">
      <c r="A100" s="120">
        <v>7</v>
      </c>
      <c r="B100" s="108" t="s">
        <v>102</v>
      </c>
      <c r="C100" s="17"/>
      <c r="D100" s="41"/>
      <c r="E100" s="17"/>
      <c r="F100" s="31"/>
    </row>
    <row r="101" spans="1:6" ht="93.6" x14ac:dyDescent="0.35">
      <c r="A101" s="109">
        <v>7.1</v>
      </c>
      <c r="B101" s="109" t="s">
        <v>96</v>
      </c>
      <c r="C101" s="17" t="s">
        <v>105</v>
      </c>
      <c r="D101" s="41">
        <v>2</v>
      </c>
      <c r="E101" s="17"/>
      <c r="F101" s="31">
        <f>E101*D101</f>
        <v>0</v>
      </c>
    </row>
    <row r="102" spans="1:6" ht="78" x14ac:dyDescent="0.35">
      <c r="A102" s="109">
        <v>7.2</v>
      </c>
      <c r="B102" s="109" t="s">
        <v>97</v>
      </c>
      <c r="C102" s="17" t="s">
        <v>106</v>
      </c>
      <c r="D102" s="41">
        <v>2</v>
      </c>
      <c r="E102" s="17"/>
      <c r="F102" s="31">
        <f t="shared" ref="F102:F104" si="5">E102*D102</f>
        <v>0</v>
      </c>
    </row>
    <row r="103" spans="1:6" ht="124.8" x14ac:dyDescent="0.35">
      <c r="A103" s="109">
        <v>7.3</v>
      </c>
      <c r="B103" s="109" t="s">
        <v>107</v>
      </c>
      <c r="C103" s="17" t="s">
        <v>70</v>
      </c>
      <c r="D103" s="41">
        <v>1</v>
      </c>
      <c r="E103" s="17"/>
      <c r="F103" s="31">
        <f t="shared" si="5"/>
        <v>0</v>
      </c>
    </row>
    <row r="104" spans="1:6" ht="124.8" x14ac:dyDescent="0.35">
      <c r="A104" s="109">
        <v>7.9</v>
      </c>
      <c r="B104" s="109" t="s">
        <v>98</v>
      </c>
      <c r="C104" s="17" t="s">
        <v>70</v>
      </c>
      <c r="D104" s="41">
        <v>1</v>
      </c>
      <c r="E104" s="17"/>
      <c r="F104" s="31">
        <f t="shared" si="5"/>
        <v>0</v>
      </c>
    </row>
    <row r="105" spans="1:6" ht="16.2" x14ac:dyDescent="0.35">
      <c r="A105" s="109"/>
      <c r="B105" s="108" t="s">
        <v>108</v>
      </c>
      <c r="C105" s="17"/>
      <c r="D105" s="41"/>
      <c r="E105" s="17"/>
      <c r="F105" s="32">
        <f>SUM(F101:F104)</f>
        <v>0</v>
      </c>
    </row>
    <row r="106" spans="1:6" ht="16.2" x14ac:dyDescent="0.4">
      <c r="A106" s="105">
        <v>8</v>
      </c>
      <c r="B106" s="23" t="s">
        <v>100</v>
      </c>
      <c r="C106" s="17"/>
      <c r="D106" s="41"/>
      <c r="E106" s="17"/>
      <c r="F106" s="31"/>
    </row>
    <row r="107" spans="1:6" ht="31.2" x14ac:dyDescent="0.35">
      <c r="A107" s="6">
        <v>8.1</v>
      </c>
      <c r="B107" s="109" t="s">
        <v>111</v>
      </c>
      <c r="C107" s="17" t="s">
        <v>7</v>
      </c>
      <c r="D107" s="41">
        <f>4*3*3</f>
        <v>36</v>
      </c>
      <c r="E107" s="17"/>
      <c r="F107" s="31">
        <f>E107*D107</f>
        <v>0</v>
      </c>
    </row>
    <row r="108" spans="1:6" ht="31.2" x14ac:dyDescent="0.35">
      <c r="A108" s="6">
        <v>8.1999999999999993</v>
      </c>
      <c r="B108" s="109" t="s">
        <v>99</v>
      </c>
      <c r="C108" s="17" t="s">
        <v>7</v>
      </c>
      <c r="D108" s="41">
        <f>4*3*0.05</f>
        <v>0.60000000000000009</v>
      </c>
      <c r="E108" s="17"/>
      <c r="F108" s="31">
        <f t="shared" ref="F108:F111" si="6">E108*D108</f>
        <v>0</v>
      </c>
    </row>
    <row r="109" spans="1:6" ht="46.8" x14ac:dyDescent="0.35">
      <c r="A109" s="6">
        <v>8.3000000000000007</v>
      </c>
      <c r="B109" s="109" t="s">
        <v>232</v>
      </c>
      <c r="C109" s="17" t="s">
        <v>7</v>
      </c>
      <c r="D109" s="41">
        <f>14*2.8*0.4</f>
        <v>15.68</v>
      </c>
      <c r="E109" s="17"/>
      <c r="F109" s="31">
        <f t="shared" si="6"/>
        <v>0</v>
      </c>
    </row>
    <row r="110" spans="1:6" ht="31.2" x14ac:dyDescent="0.35">
      <c r="A110" s="6">
        <v>8.4</v>
      </c>
      <c r="B110" s="109" t="s">
        <v>112</v>
      </c>
      <c r="C110" s="17" t="s">
        <v>7</v>
      </c>
      <c r="D110" s="41">
        <f>14*0.2*0.2</f>
        <v>0.56000000000000005</v>
      </c>
      <c r="E110" s="17"/>
      <c r="F110" s="31">
        <f t="shared" si="6"/>
        <v>0</v>
      </c>
    </row>
    <row r="111" spans="1:6" ht="46.8" x14ac:dyDescent="0.35">
      <c r="A111" s="6">
        <v>8.5</v>
      </c>
      <c r="B111" s="109" t="s">
        <v>110</v>
      </c>
      <c r="C111" s="17" t="s">
        <v>7</v>
      </c>
      <c r="D111" s="41">
        <f>4*3*0.2</f>
        <v>2.4000000000000004</v>
      </c>
      <c r="E111" s="17"/>
      <c r="F111" s="31">
        <f t="shared" si="6"/>
        <v>0</v>
      </c>
    </row>
    <row r="112" spans="1:6" ht="16.2" x14ac:dyDescent="0.4">
      <c r="A112" s="6"/>
      <c r="B112" s="23" t="s">
        <v>113</v>
      </c>
      <c r="C112" s="17"/>
      <c r="D112" s="41"/>
      <c r="E112" s="17"/>
      <c r="F112" s="32">
        <f>SUM(F107:F111)</f>
        <v>0</v>
      </c>
    </row>
    <row r="113" spans="1:6" ht="16.2" x14ac:dyDescent="0.4">
      <c r="A113" s="6"/>
      <c r="B113" s="23" t="s">
        <v>114</v>
      </c>
      <c r="C113" s="17"/>
      <c r="D113" s="41"/>
      <c r="E113" s="17"/>
      <c r="F113" s="32">
        <f>F112+F105+F99+F90+F77+F69+F47+F10</f>
        <v>0</v>
      </c>
    </row>
    <row r="119" spans="1:6" x14ac:dyDescent="0.35">
      <c r="B119" s="4" t="s">
        <v>109</v>
      </c>
    </row>
  </sheetData>
  <mergeCells count="4">
    <mergeCell ref="A1:F1"/>
    <mergeCell ref="A2:F2"/>
    <mergeCell ref="A3:F3"/>
    <mergeCell ref="A4:F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20"/>
  <sheetViews>
    <sheetView zoomScaleNormal="100" workbookViewId="0">
      <pane xSplit="5" ySplit="5" topLeftCell="F6" activePane="bottomRight" state="frozen"/>
      <selection pane="topRight" activeCell="F1" sqref="F1"/>
      <selection pane="bottomLeft" activeCell="A6" sqref="A6"/>
      <selection pane="bottomRight" activeCell="K23" sqref="K23"/>
    </sheetView>
  </sheetViews>
  <sheetFormatPr defaultColWidth="8.88671875" defaultRowHeight="15.6" x14ac:dyDescent="0.35"/>
  <cols>
    <col min="1" max="1" width="5.6640625" style="4" customWidth="1"/>
    <col min="2" max="2" width="62.88671875" style="4" customWidth="1"/>
    <col min="3" max="3" width="8.88671875" style="18"/>
    <col min="4" max="4" width="8.88671875" style="37"/>
    <col min="5" max="5" width="11.109375" style="18" customWidth="1"/>
    <col min="6" max="6" width="17.33203125" style="33" customWidth="1"/>
    <col min="7" max="16384" width="8.88671875" style="4"/>
  </cols>
  <sheetData>
    <row r="1" spans="1:7" x14ac:dyDescent="0.35">
      <c r="A1" s="154" t="s">
        <v>68</v>
      </c>
      <c r="B1" s="154"/>
      <c r="C1" s="154"/>
      <c r="D1" s="154"/>
      <c r="E1" s="154"/>
      <c r="F1" s="154"/>
    </row>
    <row r="2" spans="1:7" x14ac:dyDescent="0.35">
      <c r="A2" s="154" t="s">
        <v>193</v>
      </c>
      <c r="B2" s="154"/>
      <c r="C2" s="154"/>
      <c r="D2" s="154"/>
      <c r="E2" s="154"/>
      <c r="F2" s="154"/>
    </row>
    <row r="3" spans="1:7" x14ac:dyDescent="0.35">
      <c r="A3" s="154" t="s">
        <v>69</v>
      </c>
      <c r="B3" s="154"/>
      <c r="C3" s="154"/>
      <c r="D3" s="154"/>
      <c r="E3" s="154"/>
      <c r="F3" s="154"/>
    </row>
    <row r="4" spans="1:7" x14ac:dyDescent="0.35">
      <c r="A4" s="154" t="s">
        <v>91</v>
      </c>
      <c r="B4" s="154"/>
      <c r="C4" s="154"/>
      <c r="D4" s="154"/>
      <c r="E4" s="154"/>
      <c r="F4" s="154"/>
    </row>
    <row r="5" spans="1:7" s="27" customFormat="1" ht="16.2" x14ac:dyDescent="0.35">
      <c r="A5" s="25" t="s">
        <v>10</v>
      </c>
      <c r="B5" s="26" t="s">
        <v>63</v>
      </c>
      <c r="C5" s="25" t="s">
        <v>64</v>
      </c>
      <c r="D5" s="36" t="s">
        <v>65</v>
      </c>
      <c r="E5" s="104" t="s">
        <v>66</v>
      </c>
      <c r="F5" s="30" t="s">
        <v>67</v>
      </c>
    </row>
    <row r="6" spans="1:7" ht="16.2" x14ac:dyDescent="0.35">
      <c r="A6" s="6">
        <v>1</v>
      </c>
      <c r="B6" s="7" t="s">
        <v>0</v>
      </c>
      <c r="C6" s="8"/>
      <c r="D6" s="44"/>
      <c r="E6" s="17"/>
      <c r="F6" s="31"/>
    </row>
    <row r="7" spans="1:7" ht="16.2" x14ac:dyDescent="0.35">
      <c r="A7" s="6"/>
      <c r="B7" s="7" t="s">
        <v>1</v>
      </c>
      <c r="C7" s="8"/>
      <c r="D7" s="44"/>
      <c r="E7" s="17"/>
      <c r="F7" s="31"/>
    </row>
    <row r="8" spans="1:7" ht="49.2" x14ac:dyDescent="0.35">
      <c r="A8" s="6">
        <v>1.1000000000000001</v>
      </c>
      <c r="B8" s="59" t="s">
        <v>236</v>
      </c>
      <c r="C8" s="9" t="s">
        <v>70</v>
      </c>
      <c r="D8" s="44">
        <v>1</v>
      </c>
      <c r="E8" s="17"/>
      <c r="F8" s="31">
        <f>E8*D8</f>
        <v>0</v>
      </c>
    </row>
    <row r="9" spans="1:7" ht="46.8" x14ac:dyDescent="0.35">
      <c r="A9" s="6">
        <v>1.2</v>
      </c>
      <c r="B9" s="10" t="s">
        <v>208</v>
      </c>
      <c r="C9" s="9" t="s">
        <v>71</v>
      </c>
      <c r="D9" s="44">
        <v>200</v>
      </c>
      <c r="E9" s="17"/>
      <c r="F9" s="31">
        <f>E9*D9</f>
        <v>0</v>
      </c>
    </row>
    <row r="10" spans="1:7" ht="16.2" x14ac:dyDescent="0.35">
      <c r="A10" s="6"/>
      <c r="B10" s="19" t="s">
        <v>78</v>
      </c>
      <c r="C10" s="9"/>
      <c r="D10" s="44"/>
      <c r="E10" s="17"/>
      <c r="F10" s="32">
        <f>SUM(F8:F9)</f>
        <v>0</v>
      </c>
    </row>
    <row r="11" spans="1:7" x14ac:dyDescent="0.35">
      <c r="A11" s="6"/>
      <c r="B11" s="10"/>
      <c r="C11" s="9"/>
      <c r="D11" s="44"/>
      <c r="E11" s="17"/>
      <c r="F11" s="31"/>
    </row>
    <row r="12" spans="1:7" ht="16.2" x14ac:dyDescent="0.35">
      <c r="A12" s="6">
        <v>2</v>
      </c>
      <c r="B12" s="7" t="s">
        <v>3</v>
      </c>
      <c r="C12" s="8"/>
      <c r="D12" s="44"/>
      <c r="E12" s="17"/>
      <c r="F12" s="31"/>
    </row>
    <row r="13" spans="1:7" ht="16.2" x14ac:dyDescent="0.35">
      <c r="A13" s="6"/>
      <c r="B13" s="7" t="s">
        <v>4</v>
      </c>
      <c r="C13" s="8"/>
      <c r="D13" s="44"/>
      <c r="E13" s="17"/>
      <c r="F13" s="31"/>
    </row>
    <row r="14" spans="1:7" x14ac:dyDescent="0.35">
      <c r="A14" s="6"/>
      <c r="B14" s="11" t="s">
        <v>5</v>
      </c>
      <c r="C14" s="8"/>
      <c r="D14" s="44"/>
      <c r="E14" s="17"/>
      <c r="F14" s="31"/>
    </row>
    <row r="15" spans="1:7" ht="31.2" x14ac:dyDescent="0.35">
      <c r="A15" s="6"/>
      <c r="B15" s="10" t="s">
        <v>6</v>
      </c>
      <c r="C15" s="8" t="s">
        <v>7</v>
      </c>
      <c r="D15" s="45">
        <f>((22.5*3)+(7.6+3.5)+(10.5*2)+(8*3.8)+(2.6*2))*0.8*0.5</f>
        <v>54.08</v>
      </c>
      <c r="E15" s="17"/>
      <c r="F15" s="31">
        <f>E15*D15</f>
        <v>0</v>
      </c>
      <c r="G15" s="27"/>
    </row>
    <row r="16" spans="1:7" x14ac:dyDescent="0.35">
      <c r="A16" s="6"/>
      <c r="B16" s="10" t="s">
        <v>8</v>
      </c>
      <c r="C16" s="8" t="s">
        <v>7</v>
      </c>
      <c r="D16" s="44">
        <f>1*1*1*20</f>
        <v>20</v>
      </c>
      <c r="E16" s="17"/>
      <c r="F16" s="31">
        <f t="shared" ref="F16:F48" si="0">E16*D16</f>
        <v>0</v>
      </c>
    </row>
    <row r="17" spans="1:6" ht="31.2" x14ac:dyDescent="0.35">
      <c r="A17" s="6"/>
      <c r="B17" s="12" t="s">
        <v>9</v>
      </c>
      <c r="C17" s="8" t="s">
        <v>10</v>
      </c>
      <c r="D17" s="44">
        <f>(1)</f>
        <v>1</v>
      </c>
      <c r="E17" s="17"/>
      <c r="F17" s="31">
        <f t="shared" si="0"/>
        <v>0</v>
      </c>
    </row>
    <row r="18" spans="1:6" x14ac:dyDescent="0.35">
      <c r="A18" s="6"/>
      <c r="B18" s="13" t="s">
        <v>11</v>
      </c>
      <c r="C18" s="8" t="s">
        <v>10</v>
      </c>
      <c r="D18" s="44">
        <f>(1)</f>
        <v>1</v>
      </c>
      <c r="E18" s="17"/>
      <c r="F18" s="31">
        <f t="shared" si="0"/>
        <v>0</v>
      </c>
    </row>
    <row r="19" spans="1:6" ht="16.2" x14ac:dyDescent="0.35">
      <c r="A19" s="6"/>
      <c r="B19" s="7" t="s">
        <v>12</v>
      </c>
      <c r="C19" s="8"/>
      <c r="D19" s="44"/>
      <c r="E19" s="17"/>
      <c r="F19" s="31"/>
    </row>
    <row r="20" spans="1:6" x14ac:dyDescent="0.35">
      <c r="A20" s="6"/>
      <c r="B20" s="10" t="s">
        <v>13</v>
      </c>
      <c r="C20" s="8" t="s">
        <v>7</v>
      </c>
      <c r="D20" s="44">
        <f>((D15+D16)*0.3)</f>
        <v>22.224</v>
      </c>
      <c r="E20" s="17"/>
      <c r="F20" s="31">
        <f t="shared" si="0"/>
        <v>0</v>
      </c>
    </row>
    <row r="21" spans="1:6" ht="16.2" x14ac:dyDescent="0.35">
      <c r="A21" s="6"/>
      <c r="B21" s="20" t="s">
        <v>14</v>
      </c>
      <c r="C21" s="8"/>
      <c r="D21" s="44"/>
      <c r="E21" s="17"/>
      <c r="F21" s="31">
        <f t="shared" si="0"/>
        <v>0</v>
      </c>
    </row>
    <row r="22" spans="1:6" x14ac:dyDescent="0.35">
      <c r="A22" s="6"/>
      <c r="B22" s="10" t="s">
        <v>15</v>
      </c>
      <c r="C22" s="8" t="s">
        <v>7</v>
      </c>
      <c r="D22" s="44">
        <f>D15+D16-D20</f>
        <v>51.855999999999995</v>
      </c>
      <c r="E22" s="17"/>
      <c r="F22" s="31">
        <f t="shared" si="0"/>
        <v>0</v>
      </c>
    </row>
    <row r="23" spans="1:6" ht="16.2" x14ac:dyDescent="0.35">
      <c r="A23" s="6"/>
      <c r="B23" s="20" t="s">
        <v>16</v>
      </c>
      <c r="C23" s="8"/>
      <c r="D23" s="44"/>
      <c r="E23" s="17"/>
      <c r="F23" s="31">
        <f t="shared" si="0"/>
        <v>0</v>
      </c>
    </row>
    <row r="24" spans="1:6" x14ac:dyDescent="0.35">
      <c r="A24" s="6"/>
      <c r="B24" s="10" t="s">
        <v>223</v>
      </c>
      <c r="C24" s="8" t="s">
        <v>2</v>
      </c>
      <c r="D24" s="44">
        <f>22.5*10.5*0.35</f>
        <v>82.6875</v>
      </c>
      <c r="E24" s="17"/>
      <c r="F24" s="31">
        <f t="shared" si="0"/>
        <v>0</v>
      </c>
    </row>
    <row r="25" spans="1:6" x14ac:dyDescent="0.35">
      <c r="A25" s="6"/>
      <c r="B25" s="10" t="s">
        <v>17</v>
      </c>
      <c r="C25" s="8" t="s">
        <v>2</v>
      </c>
      <c r="D25" s="44">
        <f>22.5*10.5*0.05</f>
        <v>11.8125</v>
      </c>
      <c r="E25" s="17"/>
      <c r="F25" s="31">
        <f t="shared" si="0"/>
        <v>0</v>
      </c>
    </row>
    <row r="26" spans="1:6" ht="16.2" x14ac:dyDescent="0.35">
      <c r="A26" s="6"/>
      <c r="B26" s="7" t="s">
        <v>23</v>
      </c>
      <c r="C26" s="8"/>
      <c r="D26" s="44"/>
      <c r="E26" s="17"/>
      <c r="F26" s="31">
        <f t="shared" si="0"/>
        <v>0</v>
      </c>
    </row>
    <row r="27" spans="1:6" ht="31.2" x14ac:dyDescent="0.35">
      <c r="A27" s="6"/>
      <c r="B27" s="10" t="s">
        <v>24</v>
      </c>
      <c r="C27" s="8"/>
      <c r="D27" s="44"/>
      <c r="E27" s="17"/>
      <c r="F27" s="31">
        <f t="shared" si="0"/>
        <v>0</v>
      </c>
    </row>
    <row r="28" spans="1:6" x14ac:dyDescent="0.35">
      <c r="A28" s="6"/>
      <c r="B28" s="13" t="s">
        <v>25</v>
      </c>
      <c r="C28" s="8" t="s">
        <v>7</v>
      </c>
      <c r="D28" s="44">
        <f>136*0.05*0.5</f>
        <v>3.4000000000000004</v>
      </c>
      <c r="E28" s="17"/>
      <c r="F28" s="31">
        <f t="shared" si="0"/>
        <v>0</v>
      </c>
    </row>
    <row r="29" spans="1:6" x14ac:dyDescent="0.35">
      <c r="A29" s="6"/>
      <c r="B29" s="13" t="s">
        <v>26</v>
      </c>
      <c r="C29" s="8" t="s">
        <v>7</v>
      </c>
      <c r="D29" s="44">
        <f>1*1*0.05*20</f>
        <v>1</v>
      </c>
      <c r="E29" s="17"/>
      <c r="F29" s="31">
        <f t="shared" si="0"/>
        <v>0</v>
      </c>
    </row>
    <row r="30" spans="1:6" ht="34.799999999999997" x14ac:dyDescent="0.35">
      <c r="A30" s="6"/>
      <c r="B30" s="14" t="s">
        <v>18</v>
      </c>
      <c r="C30" s="17"/>
      <c r="D30" s="41"/>
      <c r="E30" s="17"/>
      <c r="F30" s="31">
        <f t="shared" si="0"/>
        <v>0</v>
      </c>
    </row>
    <row r="31" spans="1:6" x14ac:dyDescent="0.35">
      <c r="A31" s="10"/>
      <c r="B31" s="10" t="s">
        <v>19</v>
      </c>
      <c r="C31" s="8" t="s">
        <v>7</v>
      </c>
      <c r="D31" s="41">
        <f>1*1*0.35*20</f>
        <v>7</v>
      </c>
      <c r="E31" s="17"/>
      <c r="F31" s="31">
        <f t="shared" si="0"/>
        <v>0</v>
      </c>
    </row>
    <row r="32" spans="1:6" x14ac:dyDescent="0.35">
      <c r="A32" s="10"/>
      <c r="B32" s="10" t="s">
        <v>219</v>
      </c>
      <c r="C32" s="8" t="s">
        <v>7</v>
      </c>
      <c r="D32" s="41">
        <f>0.2*0.2*1.2*16</f>
        <v>0.76800000000000013</v>
      </c>
      <c r="E32" s="17"/>
      <c r="F32" s="31">
        <f t="shared" si="0"/>
        <v>0</v>
      </c>
    </row>
    <row r="33" spans="1:6" x14ac:dyDescent="0.35">
      <c r="A33" s="10"/>
      <c r="B33" s="10" t="s">
        <v>219</v>
      </c>
      <c r="C33" s="8" t="s">
        <v>7</v>
      </c>
      <c r="D33" s="41">
        <f>4*0.2*0.2*1.2</f>
        <v>0.19200000000000003</v>
      </c>
      <c r="E33" s="17"/>
      <c r="F33" s="31">
        <f t="shared" si="0"/>
        <v>0</v>
      </c>
    </row>
    <row r="34" spans="1:6" x14ac:dyDescent="0.35">
      <c r="A34" s="10"/>
      <c r="B34" s="10" t="s">
        <v>72</v>
      </c>
      <c r="C34" s="8" t="s">
        <v>7</v>
      </c>
      <c r="D34" s="41">
        <f>136*0.2*0.4</f>
        <v>10.880000000000003</v>
      </c>
      <c r="E34" s="17"/>
      <c r="F34" s="31">
        <f t="shared" si="0"/>
        <v>0</v>
      </c>
    </row>
    <row r="35" spans="1:6" x14ac:dyDescent="0.35">
      <c r="A35" s="10"/>
      <c r="B35" s="10" t="s">
        <v>21</v>
      </c>
      <c r="C35" s="8" t="s">
        <v>7</v>
      </c>
      <c r="D35" s="41">
        <f>22.5*10.5*0.1</f>
        <v>23.625</v>
      </c>
      <c r="E35" s="17"/>
      <c r="F35" s="31">
        <f t="shared" si="0"/>
        <v>0</v>
      </c>
    </row>
    <row r="36" spans="1:6" x14ac:dyDescent="0.35">
      <c r="A36" s="10"/>
      <c r="B36" s="10" t="s">
        <v>221</v>
      </c>
      <c r="C36" s="8" t="s">
        <v>7</v>
      </c>
      <c r="D36" s="41">
        <f>22*2*0.1*1</f>
        <v>4.4000000000000004</v>
      </c>
      <c r="E36" s="17"/>
      <c r="F36" s="31">
        <f t="shared" si="0"/>
        <v>0</v>
      </c>
    </row>
    <row r="37" spans="1:6" ht="46.8" x14ac:dyDescent="0.35">
      <c r="A37" s="6"/>
      <c r="B37" s="10" t="s">
        <v>20</v>
      </c>
      <c r="C37" s="8" t="s">
        <v>2</v>
      </c>
      <c r="D37" s="41">
        <f>22.5*10.5</f>
        <v>236.25</v>
      </c>
      <c r="E37" s="17"/>
      <c r="F37" s="31">
        <f t="shared" si="0"/>
        <v>0</v>
      </c>
    </row>
    <row r="38" spans="1:6" ht="16.2" x14ac:dyDescent="0.35">
      <c r="A38" s="6"/>
      <c r="B38" s="106" t="s">
        <v>27</v>
      </c>
      <c r="C38" s="17"/>
      <c r="D38" s="41"/>
      <c r="E38" s="17"/>
      <c r="F38" s="31">
        <f t="shared" si="0"/>
        <v>0</v>
      </c>
    </row>
    <row r="39" spans="1:6" ht="62.4" x14ac:dyDescent="0.35">
      <c r="A39" s="6"/>
      <c r="B39" s="2" t="s">
        <v>28</v>
      </c>
      <c r="C39" s="8" t="s">
        <v>2</v>
      </c>
      <c r="D39" s="41">
        <f>22.5*10.5</f>
        <v>236.25</v>
      </c>
      <c r="E39" s="17"/>
      <c r="F39" s="31">
        <f t="shared" si="0"/>
        <v>0</v>
      </c>
    </row>
    <row r="40" spans="1:6" ht="16.2" x14ac:dyDescent="0.35">
      <c r="A40" s="6"/>
      <c r="B40" s="106" t="s">
        <v>29</v>
      </c>
      <c r="C40" s="17"/>
      <c r="D40" s="41"/>
      <c r="E40" s="17"/>
      <c r="F40" s="31">
        <f t="shared" si="0"/>
        <v>0</v>
      </c>
    </row>
    <row r="41" spans="1:6" ht="46.8" x14ac:dyDescent="0.35">
      <c r="A41" s="6"/>
      <c r="B41" s="2" t="s">
        <v>30</v>
      </c>
      <c r="C41" s="8" t="s">
        <v>2</v>
      </c>
      <c r="D41" s="41">
        <f>D39</f>
        <v>236.25</v>
      </c>
      <c r="E41" s="17"/>
      <c r="F41" s="31">
        <f t="shared" si="0"/>
        <v>0</v>
      </c>
    </row>
    <row r="42" spans="1:6" ht="16.8" x14ac:dyDescent="0.35">
      <c r="A42" s="6"/>
      <c r="B42" s="149" t="s">
        <v>31</v>
      </c>
      <c r="C42" s="17"/>
      <c r="D42" s="41"/>
      <c r="E42" s="17"/>
      <c r="F42" s="31">
        <f t="shared" si="0"/>
        <v>0</v>
      </c>
    </row>
    <row r="43" spans="1:6" ht="48.6" x14ac:dyDescent="0.35">
      <c r="A43" s="6"/>
      <c r="B43" s="3" t="s">
        <v>80</v>
      </c>
      <c r="C43" s="17"/>
      <c r="D43" s="41"/>
      <c r="E43" s="17"/>
      <c r="F43" s="31">
        <f t="shared" si="0"/>
        <v>0</v>
      </c>
    </row>
    <row r="44" spans="1:6" ht="16.2" x14ac:dyDescent="0.35">
      <c r="A44" s="6"/>
      <c r="B44" s="1" t="s">
        <v>34</v>
      </c>
      <c r="C44" s="17" t="s">
        <v>7</v>
      </c>
      <c r="D44" s="41">
        <f>136*0.4*1.1</f>
        <v>59.840000000000011</v>
      </c>
      <c r="E44" s="17"/>
      <c r="F44" s="31">
        <f t="shared" si="0"/>
        <v>0</v>
      </c>
    </row>
    <row r="45" spans="1:6" ht="16.2" x14ac:dyDescent="0.35">
      <c r="A45" s="6"/>
      <c r="B45" s="1" t="s">
        <v>169</v>
      </c>
      <c r="C45" s="17"/>
      <c r="D45" s="41"/>
      <c r="E45" s="17"/>
      <c r="F45" s="31"/>
    </row>
    <row r="46" spans="1:6" ht="113.4" x14ac:dyDescent="0.35">
      <c r="A46" s="6"/>
      <c r="B46" s="3" t="s">
        <v>228</v>
      </c>
      <c r="C46" s="17" t="s">
        <v>126</v>
      </c>
      <c r="D46" s="41">
        <v>1</v>
      </c>
      <c r="E46" s="17"/>
      <c r="F46" s="31">
        <f t="shared" si="0"/>
        <v>0</v>
      </c>
    </row>
    <row r="47" spans="1:6" ht="16.2" x14ac:dyDescent="0.35">
      <c r="A47" s="6"/>
      <c r="B47" s="107" t="s">
        <v>32</v>
      </c>
      <c r="C47" s="17"/>
      <c r="D47" s="41"/>
      <c r="E47" s="17"/>
      <c r="F47" s="31">
        <f t="shared" si="0"/>
        <v>0</v>
      </c>
    </row>
    <row r="48" spans="1:6" ht="16.2" x14ac:dyDescent="0.35">
      <c r="A48" s="6"/>
      <c r="B48" s="1" t="s">
        <v>33</v>
      </c>
      <c r="C48" s="17" t="s">
        <v>2</v>
      </c>
      <c r="D48" s="41">
        <f>136*1</f>
        <v>136</v>
      </c>
      <c r="E48" s="17"/>
      <c r="F48" s="31">
        <f t="shared" si="0"/>
        <v>0</v>
      </c>
    </row>
    <row r="49" spans="1:6" ht="16.2" x14ac:dyDescent="0.35">
      <c r="A49" s="6"/>
      <c r="B49" s="21" t="s">
        <v>83</v>
      </c>
      <c r="C49" s="17"/>
      <c r="D49" s="41"/>
      <c r="E49" s="17"/>
      <c r="F49" s="32">
        <f>SUM(F15:F48)</f>
        <v>0</v>
      </c>
    </row>
    <row r="50" spans="1:6" x14ac:dyDescent="0.35">
      <c r="A50" s="6"/>
      <c r="B50" s="2"/>
      <c r="C50" s="17"/>
      <c r="D50" s="41"/>
      <c r="E50" s="17"/>
      <c r="F50" s="31"/>
    </row>
    <row r="51" spans="1:6" ht="16.2" x14ac:dyDescent="0.35">
      <c r="A51" s="6"/>
      <c r="B51" s="21" t="s">
        <v>81</v>
      </c>
      <c r="C51" s="17"/>
      <c r="D51" s="41"/>
      <c r="E51" s="17"/>
      <c r="F51" s="31"/>
    </row>
    <row r="52" spans="1:6" ht="16.2" x14ac:dyDescent="0.35">
      <c r="A52" s="6"/>
      <c r="B52" s="108" t="s">
        <v>37</v>
      </c>
      <c r="C52" s="17"/>
      <c r="D52" s="41"/>
      <c r="E52" s="17"/>
      <c r="F52" s="31"/>
    </row>
    <row r="53" spans="1:6" ht="34.799999999999997" x14ac:dyDescent="0.35">
      <c r="A53" s="6"/>
      <c r="B53" s="14" t="s">
        <v>18</v>
      </c>
      <c r="C53" s="17"/>
      <c r="D53" s="41"/>
      <c r="E53" s="17"/>
      <c r="F53" s="31"/>
    </row>
    <row r="54" spans="1:6" x14ac:dyDescent="0.35">
      <c r="A54" s="6"/>
      <c r="B54" s="109" t="s">
        <v>220</v>
      </c>
      <c r="C54" s="17" t="s">
        <v>7</v>
      </c>
      <c r="D54" s="41">
        <f>0.2*0.2*3.4*16</f>
        <v>2.1760000000000002</v>
      </c>
      <c r="E54" s="17"/>
      <c r="F54" s="31">
        <f>E54*D54</f>
        <v>0</v>
      </c>
    </row>
    <row r="55" spans="1:6" x14ac:dyDescent="0.35">
      <c r="A55" s="6"/>
      <c r="B55" s="109" t="s">
        <v>220</v>
      </c>
      <c r="C55" s="17" t="s">
        <v>7</v>
      </c>
      <c r="D55" s="41">
        <f>4*0.2*0.2*3.4</f>
        <v>0.54400000000000004</v>
      </c>
      <c r="E55" s="17"/>
      <c r="F55" s="31">
        <f>E55*D55</f>
        <v>0</v>
      </c>
    </row>
    <row r="56" spans="1:6" x14ac:dyDescent="0.35">
      <c r="A56" s="6"/>
      <c r="B56" s="109" t="s">
        <v>39</v>
      </c>
      <c r="C56" s="17" t="s">
        <v>7</v>
      </c>
      <c r="D56" s="46">
        <f>136*0.2*0.2</f>
        <v>5.4400000000000013</v>
      </c>
      <c r="E56" s="17"/>
      <c r="F56" s="31">
        <f t="shared" ref="F56:F72" si="1">E56*D56</f>
        <v>0</v>
      </c>
    </row>
    <row r="57" spans="1:6" x14ac:dyDescent="0.35">
      <c r="A57" s="6"/>
      <c r="B57" s="109" t="s">
        <v>40</v>
      </c>
      <c r="C57" s="17" t="s">
        <v>7</v>
      </c>
      <c r="D57" s="46">
        <f>136*0.2*0.2</f>
        <v>5.4400000000000013</v>
      </c>
      <c r="E57" s="17"/>
      <c r="F57" s="31">
        <f t="shared" si="1"/>
        <v>0</v>
      </c>
    </row>
    <row r="58" spans="1:6" ht="16.2" x14ac:dyDescent="0.35">
      <c r="A58" s="6"/>
      <c r="B58" s="108" t="s">
        <v>35</v>
      </c>
      <c r="C58" s="17"/>
      <c r="D58" s="41"/>
      <c r="E58" s="17"/>
      <c r="F58" s="31">
        <f t="shared" si="1"/>
        <v>0</v>
      </c>
    </row>
    <row r="59" spans="1:6" ht="52.2" x14ac:dyDescent="0.35">
      <c r="A59" s="6"/>
      <c r="B59" s="110" t="s">
        <v>41</v>
      </c>
      <c r="C59" s="17"/>
      <c r="D59" s="41"/>
      <c r="E59" s="17"/>
      <c r="F59" s="31">
        <f t="shared" si="1"/>
        <v>0</v>
      </c>
    </row>
    <row r="60" spans="1:6" x14ac:dyDescent="0.35">
      <c r="A60" s="6"/>
      <c r="B60" s="109" t="s">
        <v>36</v>
      </c>
      <c r="C60" s="17" t="s">
        <v>2</v>
      </c>
      <c r="D60" s="41">
        <f>(((22.5*3)+(7.6+3.7)+(10.5*2)+(8*4)+(2.6*2))*3)+(0.5*8*1.5)-((8*0.9*2.1)+(10*1.2*1.2)+(2*2.2*2))</f>
        <v>378.68</v>
      </c>
      <c r="E60" s="17"/>
      <c r="F60" s="31">
        <f t="shared" si="1"/>
        <v>0</v>
      </c>
    </row>
    <row r="61" spans="1:6" ht="16.8" x14ac:dyDescent="0.35">
      <c r="A61" s="6"/>
      <c r="B61" s="111" t="s">
        <v>42</v>
      </c>
      <c r="C61" s="17"/>
      <c r="D61" s="41"/>
      <c r="E61" s="17"/>
      <c r="F61" s="31">
        <f t="shared" si="1"/>
        <v>0</v>
      </c>
    </row>
    <row r="62" spans="1:6" ht="32.4" x14ac:dyDescent="0.4">
      <c r="A62" s="6"/>
      <c r="B62" s="112" t="s">
        <v>43</v>
      </c>
      <c r="C62" s="17"/>
      <c r="D62" s="41"/>
      <c r="E62" s="17"/>
      <c r="F62" s="31">
        <f t="shared" si="1"/>
        <v>0</v>
      </c>
    </row>
    <row r="63" spans="1:6" ht="16.2" customHeight="1" x14ac:dyDescent="0.4">
      <c r="A63" s="6"/>
      <c r="B63" s="113" t="s">
        <v>44</v>
      </c>
      <c r="C63" s="17" t="s">
        <v>2</v>
      </c>
      <c r="D63" s="41">
        <f>D60*2</f>
        <v>757.36</v>
      </c>
      <c r="E63" s="17"/>
      <c r="F63" s="31">
        <f t="shared" si="1"/>
        <v>0</v>
      </c>
    </row>
    <row r="64" spans="1:6" ht="33" customHeight="1" x14ac:dyDescent="0.4">
      <c r="A64" s="6"/>
      <c r="B64" s="112" t="s">
        <v>45</v>
      </c>
      <c r="C64" s="17"/>
      <c r="D64" s="41"/>
      <c r="E64" s="17"/>
      <c r="F64" s="31">
        <f t="shared" si="1"/>
        <v>0</v>
      </c>
    </row>
    <row r="65" spans="1:6" ht="16.2" x14ac:dyDescent="0.4">
      <c r="A65" s="6"/>
      <c r="B65" s="113" t="s">
        <v>46</v>
      </c>
      <c r="C65" s="17" t="s">
        <v>2</v>
      </c>
      <c r="D65" s="41">
        <f>D63</f>
        <v>757.36</v>
      </c>
      <c r="E65" s="17"/>
      <c r="F65" s="31">
        <f t="shared" si="1"/>
        <v>0</v>
      </c>
    </row>
    <row r="66" spans="1:6" ht="16.8" x14ac:dyDescent="0.45">
      <c r="A66" s="6"/>
      <c r="B66" s="114" t="s">
        <v>50</v>
      </c>
      <c r="C66" s="17"/>
      <c r="D66" s="41"/>
      <c r="E66" s="17"/>
      <c r="F66" s="31">
        <f t="shared" si="1"/>
        <v>0</v>
      </c>
    </row>
    <row r="67" spans="1:6" ht="32.4" x14ac:dyDescent="0.4">
      <c r="A67" s="6"/>
      <c r="B67" s="113" t="s">
        <v>47</v>
      </c>
      <c r="C67" s="17" t="s">
        <v>2</v>
      </c>
      <c r="D67" s="46">
        <f>((3.5*2)+(3.6))*2</f>
        <v>21.2</v>
      </c>
      <c r="E67" s="17"/>
      <c r="F67" s="31">
        <f t="shared" si="1"/>
        <v>0</v>
      </c>
    </row>
    <row r="68" spans="1:6" ht="48.6" x14ac:dyDescent="0.4">
      <c r="A68" s="6"/>
      <c r="B68" s="113" t="s">
        <v>51</v>
      </c>
      <c r="C68" s="17" t="s">
        <v>2</v>
      </c>
      <c r="D68" s="46">
        <f>D67</f>
        <v>21.2</v>
      </c>
      <c r="E68" s="17"/>
      <c r="F68" s="31">
        <f t="shared" si="1"/>
        <v>0</v>
      </c>
    </row>
    <row r="69" spans="1:6" ht="16.8" x14ac:dyDescent="0.45">
      <c r="A69" s="6"/>
      <c r="B69" s="114" t="s">
        <v>48</v>
      </c>
      <c r="C69" s="17"/>
      <c r="D69" s="41"/>
      <c r="E69" s="17"/>
      <c r="F69" s="31">
        <f t="shared" si="1"/>
        <v>0</v>
      </c>
    </row>
    <row r="70" spans="1:6" ht="32.4" x14ac:dyDescent="0.4">
      <c r="A70" s="6"/>
      <c r="B70" s="113" t="s">
        <v>49</v>
      </c>
      <c r="C70" s="17" t="s">
        <v>2</v>
      </c>
      <c r="D70" s="41">
        <f>22.5*10.5</f>
        <v>236.25</v>
      </c>
      <c r="E70" s="17"/>
      <c r="F70" s="31">
        <f t="shared" si="1"/>
        <v>0</v>
      </c>
    </row>
    <row r="71" spans="1:6" ht="52.8" customHeight="1" x14ac:dyDescent="0.4">
      <c r="A71" s="6"/>
      <c r="B71" s="113" t="s">
        <v>52</v>
      </c>
      <c r="C71" s="17" t="s">
        <v>2</v>
      </c>
      <c r="D71" s="41">
        <f>D70</f>
        <v>236.25</v>
      </c>
      <c r="E71" s="17"/>
      <c r="F71" s="31">
        <f t="shared" si="1"/>
        <v>0</v>
      </c>
    </row>
    <row r="72" spans="1:6" ht="56.4" customHeight="1" x14ac:dyDescent="0.4">
      <c r="A72" s="6"/>
      <c r="B72" s="113" t="s">
        <v>117</v>
      </c>
      <c r="C72" s="17" t="s">
        <v>214</v>
      </c>
      <c r="D72" s="41">
        <v>194</v>
      </c>
      <c r="E72" s="17"/>
      <c r="F72" s="31">
        <f t="shared" si="1"/>
        <v>0</v>
      </c>
    </row>
    <row r="73" spans="1:6" ht="16.8" x14ac:dyDescent="0.45">
      <c r="A73" s="6"/>
      <c r="B73" s="114" t="s">
        <v>82</v>
      </c>
      <c r="C73" s="17"/>
      <c r="D73" s="41"/>
      <c r="E73" s="17"/>
      <c r="F73" s="32">
        <f>SUM(F54:F72)</f>
        <v>0</v>
      </c>
    </row>
    <row r="74" spans="1:6" ht="16.8" x14ac:dyDescent="0.45">
      <c r="A74" s="6"/>
      <c r="B74" s="114"/>
      <c r="C74" s="17"/>
      <c r="D74" s="41"/>
      <c r="E74" s="17"/>
      <c r="F74" s="32"/>
    </row>
    <row r="75" spans="1:6" ht="16.2" x14ac:dyDescent="0.4">
      <c r="A75" s="6"/>
      <c r="B75" s="113" t="s">
        <v>84</v>
      </c>
      <c r="C75" s="17"/>
      <c r="D75" s="41"/>
      <c r="E75" s="17"/>
      <c r="F75" s="31"/>
    </row>
    <row r="76" spans="1:6" ht="16.2" x14ac:dyDescent="0.35">
      <c r="A76" s="6"/>
      <c r="B76" s="115" t="s">
        <v>85</v>
      </c>
      <c r="C76" s="17"/>
      <c r="D76" s="41"/>
      <c r="E76" s="17"/>
      <c r="F76" s="31"/>
    </row>
    <row r="77" spans="1:6" ht="109.2" x14ac:dyDescent="0.35">
      <c r="A77" s="6"/>
      <c r="B77" s="109" t="s">
        <v>218</v>
      </c>
      <c r="C77" s="17" t="s">
        <v>2</v>
      </c>
      <c r="D77" s="41">
        <f>22.5*10.5*1.1</f>
        <v>259.875</v>
      </c>
      <c r="E77" s="17"/>
      <c r="F77" s="31">
        <f>E77*D77</f>
        <v>0</v>
      </c>
    </row>
    <row r="78" spans="1:6" ht="16.2" x14ac:dyDescent="0.35">
      <c r="A78" s="6"/>
      <c r="B78" s="115" t="s">
        <v>59</v>
      </c>
      <c r="C78" s="17"/>
      <c r="D78" s="41"/>
      <c r="E78" s="17"/>
      <c r="F78" s="31">
        <f t="shared" ref="F78:F81" si="2">E78*D78</f>
        <v>0</v>
      </c>
    </row>
    <row r="79" spans="1:6" ht="48.6" x14ac:dyDescent="0.35">
      <c r="A79" s="6"/>
      <c r="B79" s="116" t="s">
        <v>224</v>
      </c>
      <c r="C79" s="17" t="s">
        <v>2</v>
      </c>
      <c r="D79" s="41">
        <f>22.5*10.5</f>
        <v>236.25</v>
      </c>
      <c r="E79" s="17"/>
      <c r="F79" s="31">
        <f t="shared" si="2"/>
        <v>0</v>
      </c>
    </row>
    <row r="80" spans="1:6" ht="16.2" x14ac:dyDescent="0.35">
      <c r="A80" s="6"/>
      <c r="B80" s="115" t="s">
        <v>60</v>
      </c>
      <c r="C80" s="17"/>
      <c r="D80" s="41"/>
      <c r="E80" s="17"/>
      <c r="F80" s="31">
        <f t="shared" si="2"/>
        <v>0</v>
      </c>
    </row>
    <row r="81" spans="1:6" x14ac:dyDescent="0.35">
      <c r="A81" s="6"/>
      <c r="B81" s="109" t="s">
        <v>61</v>
      </c>
      <c r="C81" s="17" t="s">
        <v>87</v>
      </c>
      <c r="D81" s="41">
        <v>70</v>
      </c>
      <c r="E81" s="17"/>
      <c r="F81" s="31">
        <f t="shared" si="2"/>
        <v>0</v>
      </c>
    </row>
    <row r="82" spans="1:6" ht="16.2" x14ac:dyDescent="0.35">
      <c r="A82" s="6"/>
      <c r="B82" s="108" t="s">
        <v>86</v>
      </c>
      <c r="C82" s="17"/>
      <c r="D82" s="41"/>
      <c r="E82" s="17"/>
      <c r="F82" s="32">
        <f>SUM(F77:F81)</f>
        <v>0</v>
      </c>
    </row>
    <row r="83" spans="1:6" x14ac:dyDescent="0.35">
      <c r="A83" s="6"/>
      <c r="B83" s="109"/>
      <c r="C83" s="17"/>
      <c r="D83" s="41"/>
      <c r="E83" s="17"/>
      <c r="F83" s="31"/>
    </row>
    <row r="84" spans="1:6" x14ac:dyDescent="0.35">
      <c r="A84" s="6"/>
      <c r="B84" s="109" t="s">
        <v>89</v>
      </c>
      <c r="C84" s="17"/>
      <c r="D84" s="41"/>
      <c r="E84" s="17"/>
      <c r="F84" s="31"/>
    </row>
    <row r="85" spans="1:6" x14ac:dyDescent="0.35">
      <c r="A85" s="6"/>
      <c r="B85" s="6" t="s">
        <v>88</v>
      </c>
      <c r="C85" s="17"/>
      <c r="D85" s="41"/>
      <c r="E85" s="17"/>
      <c r="F85" s="31"/>
    </row>
    <row r="86" spans="1:6" ht="46.8" x14ac:dyDescent="0.35">
      <c r="A86" s="6"/>
      <c r="B86" s="109" t="s">
        <v>190</v>
      </c>
      <c r="C86" s="17"/>
      <c r="D86" s="41"/>
      <c r="E86" s="17"/>
      <c r="F86" s="31"/>
    </row>
    <row r="87" spans="1:6" x14ac:dyDescent="0.35">
      <c r="A87" s="6"/>
      <c r="B87" s="109" t="s">
        <v>192</v>
      </c>
      <c r="C87" s="17" t="s">
        <v>62</v>
      </c>
      <c r="D87" s="41">
        <v>2</v>
      </c>
      <c r="E87" s="17"/>
      <c r="F87" s="31">
        <f>E87*D87</f>
        <v>0</v>
      </c>
    </row>
    <row r="88" spans="1:6" ht="46.8" x14ac:dyDescent="0.35">
      <c r="A88" s="6"/>
      <c r="B88" s="109" t="s">
        <v>58</v>
      </c>
      <c r="C88" s="17"/>
      <c r="D88" s="41"/>
      <c r="E88" s="17"/>
      <c r="F88" s="31"/>
    </row>
    <row r="89" spans="1:6" x14ac:dyDescent="0.35">
      <c r="A89" s="6"/>
      <c r="B89" s="117" t="s">
        <v>191</v>
      </c>
      <c r="C89" s="17" t="s">
        <v>62</v>
      </c>
      <c r="D89" s="41">
        <v>8</v>
      </c>
      <c r="E89" s="17"/>
      <c r="F89" s="31">
        <f t="shared" ref="F89:F96" si="3">E89*D89</f>
        <v>0</v>
      </c>
    </row>
    <row r="90" spans="1:6" ht="16.2" x14ac:dyDescent="0.35">
      <c r="A90" s="6"/>
      <c r="B90" s="108" t="s">
        <v>53</v>
      </c>
      <c r="C90" s="17"/>
      <c r="D90" s="41"/>
      <c r="E90" s="17"/>
      <c r="F90" s="31"/>
    </row>
    <row r="91" spans="1:6" ht="78" x14ac:dyDescent="0.35">
      <c r="A91" s="6"/>
      <c r="B91" s="109" t="s">
        <v>54</v>
      </c>
      <c r="C91" s="17"/>
      <c r="D91" s="41"/>
      <c r="E91" s="17"/>
      <c r="F91" s="31"/>
    </row>
    <row r="92" spans="1:6" x14ac:dyDescent="0.35">
      <c r="A92" s="6"/>
      <c r="B92" s="109" t="s">
        <v>75</v>
      </c>
      <c r="C92" s="17" t="s">
        <v>22</v>
      </c>
      <c r="D92" s="41">
        <f>0.8*2.1*3</f>
        <v>5.0400000000000009</v>
      </c>
      <c r="E92" s="17"/>
      <c r="F92" s="31">
        <f t="shared" si="3"/>
        <v>0</v>
      </c>
    </row>
    <row r="93" spans="1:6" ht="16.2" x14ac:dyDescent="0.35">
      <c r="A93" s="6"/>
      <c r="B93" s="108" t="s">
        <v>55</v>
      </c>
      <c r="C93" s="17"/>
      <c r="D93" s="41"/>
      <c r="E93" s="17"/>
      <c r="F93" s="31"/>
    </row>
    <row r="94" spans="1:6" ht="93.6" x14ac:dyDescent="0.35">
      <c r="A94" s="6"/>
      <c r="B94" s="109" t="s">
        <v>56</v>
      </c>
      <c r="C94" s="17"/>
      <c r="D94" s="41"/>
      <c r="E94" s="17"/>
      <c r="F94" s="31"/>
    </row>
    <row r="95" spans="1:6" x14ac:dyDescent="0.35">
      <c r="A95" s="6"/>
      <c r="B95" s="109" t="s">
        <v>76</v>
      </c>
      <c r="C95" s="17" t="s">
        <v>22</v>
      </c>
      <c r="D95" s="46">
        <f>10*1.2*1.5</f>
        <v>18</v>
      </c>
      <c r="E95" s="17"/>
      <c r="F95" s="31">
        <f t="shared" si="3"/>
        <v>0</v>
      </c>
    </row>
    <row r="96" spans="1:6" x14ac:dyDescent="0.35">
      <c r="A96" s="6"/>
      <c r="B96" s="109" t="s">
        <v>57</v>
      </c>
      <c r="C96" s="17" t="s">
        <v>22</v>
      </c>
      <c r="D96" s="41">
        <f>2*0.6*0.6</f>
        <v>0.72</v>
      </c>
      <c r="E96" s="17"/>
      <c r="F96" s="31">
        <f t="shared" si="3"/>
        <v>0</v>
      </c>
    </row>
    <row r="97" spans="1:6" ht="16.2" x14ac:dyDescent="0.35">
      <c r="A97" s="6"/>
      <c r="B97" s="6" t="s">
        <v>90</v>
      </c>
      <c r="C97" s="17"/>
      <c r="D97" s="41"/>
      <c r="E97" s="17"/>
      <c r="F97" s="32">
        <f>SUM(F87:F96)</f>
        <v>0</v>
      </c>
    </row>
    <row r="98" spans="1:6" ht="16.2" x14ac:dyDescent="0.4">
      <c r="A98" s="118">
        <v>6</v>
      </c>
      <c r="B98" s="23" t="s">
        <v>101</v>
      </c>
      <c r="C98" s="17"/>
      <c r="D98" s="41"/>
      <c r="E98" s="17"/>
      <c r="F98" s="31"/>
    </row>
    <row r="99" spans="1:6" ht="78" x14ac:dyDescent="0.35">
      <c r="A99" s="119">
        <v>6.1</v>
      </c>
      <c r="B99" s="109" t="s">
        <v>92</v>
      </c>
      <c r="C99" s="17" t="s">
        <v>70</v>
      </c>
      <c r="D99" s="41">
        <v>27</v>
      </c>
      <c r="E99" s="17"/>
      <c r="F99" s="31">
        <f>E99*D99</f>
        <v>0</v>
      </c>
    </row>
    <row r="100" spans="1:6" ht="62.4" x14ac:dyDescent="0.35">
      <c r="A100" s="119">
        <v>6.2</v>
      </c>
      <c r="B100" s="109" t="s">
        <v>115</v>
      </c>
      <c r="C100" s="17" t="s">
        <v>62</v>
      </c>
      <c r="D100" s="41">
        <v>27</v>
      </c>
      <c r="E100" s="17"/>
      <c r="F100" s="31">
        <f t="shared" ref="F100:F105" si="4">E100*D100</f>
        <v>0</v>
      </c>
    </row>
    <row r="101" spans="1:6" ht="46.8" x14ac:dyDescent="0.35">
      <c r="A101" s="119">
        <v>6.3</v>
      </c>
      <c r="B101" s="109" t="s">
        <v>93</v>
      </c>
      <c r="C101" s="17" t="s">
        <v>62</v>
      </c>
      <c r="D101" s="41">
        <v>28</v>
      </c>
      <c r="E101" s="17"/>
      <c r="F101" s="31">
        <f t="shared" si="4"/>
        <v>0</v>
      </c>
    </row>
    <row r="102" spans="1:6" ht="93.6" x14ac:dyDescent="0.35">
      <c r="A102" s="119">
        <v>6.4</v>
      </c>
      <c r="B102" s="109" t="s">
        <v>94</v>
      </c>
      <c r="C102" s="17" t="s">
        <v>62</v>
      </c>
      <c r="D102" s="41">
        <v>12</v>
      </c>
      <c r="E102" s="17"/>
      <c r="F102" s="31">
        <f t="shared" si="4"/>
        <v>0</v>
      </c>
    </row>
    <row r="103" spans="1:6" ht="62.4" x14ac:dyDescent="0.35">
      <c r="A103" s="119">
        <v>6.5</v>
      </c>
      <c r="B103" s="109" t="s">
        <v>215</v>
      </c>
      <c r="C103" s="17" t="s">
        <v>62</v>
      </c>
      <c r="D103" s="41">
        <v>1</v>
      </c>
      <c r="E103" s="17"/>
      <c r="F103" s="31">
        <f t="shared" si="4"/>
        <v>0</v>
      </c>
    </row>
    <row r="104" spans="1:6" ht="62.4" x14ac:dyDescent="0.35">
      <c r="A104" s="119">
        <v>6.8</v>
      </c>
      <c r="B104" s="109" t="s">
        <v>95</v>
      </c>
      <c r="C104" s="17" t="s">
        <v>70</v>
      </c>
      <c r="D104" s="41">
        <v>1</v>
      </c>
      <c r="E104" s="17"/>
      <c r="F104" s="31">
        <f t="shared" si="4"/>
        <v>0</v>
      </c>
    </row>
    <row r="105" spans="1:6" x14ac:dyDescent="0.35">
      <c r="A105" s="119">
        <v>6.9</v>
      </c>
      <c r="B105" s="109" t="s">
        <v>103</v>
      </c>
      <c r="C105" s="17" t="s">
        <v>70</v>
      </c>
      <c r="D105" s="41">
        <v>1</v>
      </c>
      <c r="E105" s="17"/>
      <c r="F105" s="31">
        <f t="shared" si="4"/>
        <v>0</v>
      </c>
    </row>
    <row r="106" spans="1:6" ht="16.2" x14ac:dyDescent="0.4">
      <c r="A106" s="6"/>
      <c r="B106" s="23" t="s">
        <v>104</v>
      </c>
      <c r="C106" s="17"/>
      <c r="D106" s="41"/>
      <c r="E106" s="17"/>
      <c r="F106" s="32">
        <f>SUM(F99:F105)</f>
        <v>0</v>
      </c>
    </row>
    <row r="107" spans="1:6" ht="16.2" x14ac:dyDescent="0.35">
      <c r="A107" s="120">
        <v>7</v>
      </c>
      <c r="B107" s="108" t="s">
        <v>102</v>
      </c>
      <c r="C107" s="17"/>
      <c r="D107" s="41"/>
      <c r="E107" s="17"/>
      <c r="F107" s="31"/>
    </row>
    <row r="108" spans="1:6" ht="109.2" x14ac:dyDescent="0.35">
      <c r="A108" s="109">
        <v>7.1</v>
      </c>
      <c r="B108" s="109" t="s">
        <v>96</v>
      </c>
      <c r="C108" s="17" t="s">
        <v>105</v>
      </c>
      <c r="D108" s="41">
        <v>2</v>
      </c>
      <c r="E108" s="17"/>
      <c r="F108" s="31">
        <f>E108*D108</f>
        <v>0</v>
      </c>
    </row>
    <row r="109" spans="1:6" ht="78" x14ac:dyDescent="0.35">
      <c r="A109" s="109">
        <v>7.2</v>
      </c>
      <c r="B109" s="109" t="s">
        <v>97</v>
      </c>
      <c r="C109" s="17" t="s">
        <v>106</v>
      </c>
      <c r="D109" s="41">
        <v>2</v>
      </c>
      <c r="E109" s="17"/>
      <c r="F109" s="31">
        <f t="shared" ref="F109:F111" si="5">E109*D109</f>
        <v>0</v>
      </c>
    </row>
    <row r="110" spans="1:6" ht="124.8" x14ac:dyDescent="0.35">
      <c r="A110" s="109">
        <v>7.3</v>
      </c>
      <c r="B110" s="109" t="s">
        <v>107</v>
      </c>
      <c r="C110" s="17" t="s">
        <v>70</v>
      </c>
      <c r="D110" s="41">
        <v>1</v>
      </c>
      <c r="E110" s="17"/>
      <c r="F110" s="31">
        <f t="shared" si="5"/>
        <v>0</v>
      </c>
    </row>
    <row r="111" spans="1:6" ht="140.4" x14ac:dyDescent="0.35">
      <c r="A111" s="109">
        <v>7.9</v>
      </c>
      <c r="B111" s="109" t="s">
        <v>98</v>
      </c>
      <c r="C111" s="17" t="s">
        <v>70</v>
      </c>
      <c r="D111" s="41">
        <v>1</v>
      </c>
      <c r="E111" s="17"/>
      <c r="F111" s="31">
        <f t="shared" si="5"/>
        <v>0</v>
      </c>
    </row>
    <row r="112" spans="1:6" ht="16.2" x14ac:dyDescent="0.35">
      <c r="A112" s="109"/>
      <c r="B112" s="108" t="s">
        <v>108</v>
      </c>
      <c r="C112" s="17"/>
      <c r="D112" s="41"/>
      <c r="E112" s="17"/>
      <c r="F112" s="32">
        <f>SUM(F108:F111)</f>
        <v>0</v>
      </c>
    </row>
    <row r="113" spans="1:6" ht="16.2" x14ac:dyDescent="0.4">
      <c r="A113" s="105">
        <v>8</v>
      </c>
      <c r="B113" s="23" t="s">
        <v>100</v>
      </c>
      <c r="C113" s="17"/>
      <c r="D113" s="41"/>
      <c r="E113" s="17"/>
      <c r="F113" s="31"/>
    </row>
    <row r="114" spans="1:6" ht="31.2" x14ac:dyDescent="0.35">
      <c r="A114" s="6">
        <v>8.1</v>
      </c>
      <c r="B114" s="109" t="s">
        <v>111</v>
      </c>
      <c r="C114" s="17" t="s">
        <v>7</v>
      </c>
      <c r="D114" s="41">
        <f>4*3*3</f>
        <v>36</v>
      </c>
      <c r="E114" s="17"/>
      <c r="F114" s="31">
        <f>E114*D114</f>
        <v>0</v>
      </c>
    </row>
    <row r="115" spans="1:6" ht="31.2" x14ac:dyDescent="0.35">
      <c r="A115" s="6">
        <v>8.1999999999999993</v>
      </c>
      <c r="B115" s="109" t="s">
        <v>99</v>
      </c>
      <c r="C115" s="17" t="s">
        <v>7</v>
      </c>
      <c r="D115" s="41">
        <f>4*3*0.05</f>
        <v>0.60000000000000009</v>
      </c>
      <c r="E115" s="17"/>
      <c r="F115" s="31">
        <f t="shared" ref="F115:F118" si="6">E115*D115</f>
        <v>0</v>
      </c>
    </row>
    <row r="116" spans="1:6" ht="46.8" x14ac:dyDescent="0.35">
      <c r="A116" s="6">
        <v>8.3000000000000007</v>
      </c>
      <c r="B116" s="109" t="s">
        <v>231</v>
      </c>
      <c r="C116" s="17" t="s">
        <v>7</v>
      </c>
      <c r="D116" s="41">
        <f>14*2.8*0.4</f>
        <v>15.68</v>
      </c>
      <c r="E116" s="17"/>
      <c r="F116" s="31">
        <f t="shared" si="6"/>
        <v>0</v>
      </c>
    </row>
    <row r="117" spans="1:6" ht="31.2" x14ac:dyDescent="0.35">
      <c r="A117" s="6">
        <v>8.4</v>
      </c>
      <c r="B117" s="109" t="s">
        <v>112</v>
      </c>
      <c r="C117" s="17" t="s">
        <v>7</v>
      </c>
      <c r="D117" s="41">
        <f>14*0.2*0.2</f>
        <v>0.56000000000000005</v>
      </c>
      <c r="E117" s="17"/>
      <c r="F117" s="31">
        <f t="shared" si="6"/>
        <v>0</v>
      </c>
    </row>
    <row r="118" spans="1:6" ht="46.8" x14ac:dyDescent="0.35">
      <c r="A118" s="6">
        <v>8.5</v>
      </c>
      <c r="B118" s="109" t="s">
        <v>110</v>
      </c>
      <c r="C118" s="17" t="s">
        <v>7</v>
      </c>
      <c r="D118" s="41">
        <f>4*3*0.2</f>
        <v>2.4000000000000004</v>
      </c>
      <c r="E118" s="17"/>
      <c r="F118" s="31">
        <f t="shared" si="6"/>
        <v>0</v>
      </c>
    </row>
    <row r="119" spans="1:6" ht="16.2" x14ac:dyDescent="0.4">
      <c r="A119" s="6"/>
      <c r="B119" s="23" t="s">
        <v>113</v>
      </c>
      <c r="C119" s="17"/>
      <c r="D119" s="41"/>
      <c r="E119" s="17"/>
      <c r="F119" s="32">
        <f>SUM(F114:F118)</f>
        <v>0</v>
      </c>
    </row>
    <row r="120" spans="1:6" ht="16.2" x14ac:dyDescent="0.4">
      <c r="A120" s="6"/>
      <c r="B120" s="23" t="s">
        <v>196</v>
      </c>
      <c r="C120" s="17"/>
      <c r="D120" s="41"/>
      <c r="E120" s="17"/>
      <c r="F120" s="32">
        <f>F119+F106+F97+F82+F73+F49+F10</f>
        <v>0</v>
      </c>
    </row>
  </sheetData>
  <mergeCells count="4">
    <mergeCell ref="A1:F1"/>
    <mergeCell ref="A2:F2"/>
    <mergeCell ref="A3:F3"/>
    <mergeCell ref="A4:F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01"/>
  <sheetViews>
    <sheetView zoomScaleNormal="100" workbookViewId="0">
      <pane xSplit="5" ySplit="5" topLeftCell="F6" activePane="bottomRight" state="frozen"/>
      <selection pane="topRight" activeCell="F1" sqref="F1"/>
      <selection pane="bottomLeft" activeCell="A6" sqref="A6"/>
      <selection pane="bottomRight" activeCell="J18" sqref="J18"/>
    </sheetView>
  </sheetViews>
  <sheetFormatPr defaultColWidth="8.88671875" defaultRowHeight="15.6" x14ac:dyDescent="0.35"/>
  <cols>
    <col min="1" max="1" width="5.6640625" style="4" customWidth="1"/>
    <col min="2" max="2" width="62.88671875" style="4" customWidth="1"/>
    <col min="3" max="3" width="8.88671875" style="18"/>
    <col min="4" max="4" width="8.88671875" style="28" customWidth="1"/>
    <col min="5" max="5" width="11.109375" style="18" customWidth="1"/>
    <col min="6" max="6" width="18" style="24" customWidth="1"/>
    <col min="7" max="16384" width="8.88671875" style="4"/>
  </cols>
  <sheetData>
    <row r="1" spans="1:6" x14ac:dyDescent="0.35">
      <c r="A1" s="154" t="s">
        <v>68</v>
      </c>
      <c r="B1" s="154"/>
      <c r="C1" s="154"/>
      <c r="D1" s="154"/>
      <c r="E1" s="154"/>
      <c r="F1" s="154"/>
    </row>
    <row r="2" spans="1:6" x14ac:dyDescent="0.35">
      <c r="A2" s="154" t="s">
        <v>193</v>
      </c>
      <c r="B2" s="154"/>
      <c r="C2" s="154"/>
      <c r="D2" s="154"/>
      <c r="E2" s="154"/>
      <c r="F2" s="154"/>
    </row>
    <row r="3" spans="1:6" x14ac:dyDescent="0.35">
      <c r="A3" s="154" t="s">
        <v>69</v>
      </c>
      <c r="B3" s="154"/>
      <c r="C3" s="154"/>
      <c r="D3" s="154"/>
      <c r="E3" s="154"/>
      <c r="F3" s="154"/>
    </row>
    <row r="4" spans="1:6" x14ac:dyDescent="0.35">
      <c r="A4" s="154" t="s">
        <v>120</v>
      </c>
      <c r="B4" s="154"/>
      <c r="C4" s="154"/>
      <c r="D4" s="154"/>
      <c r="E4" s="154"/>
      <c r="F4" s="154"/>
    </row>
    <row r="5" spans="1:6" s="27" customFormat="1" ht="16.2" x14ac:dyDescent="0.35">
      <c r="A5" s="25" t="s">
        <v>10</v>
      </c>
      <c r="B5" s="26" t="s">
        <v>63</v>
      </c>
      <c r="C5" s="25" t="s">
        <v>64</v>
      </c>
      <c r="D5" s="121" t="s">
        <v>65</v>
      </c>
      <c r="E5" s="104" t="s">
        <v>66</v>
      </c>
      <c r="F5" s="122" t="s">
        <v>67</v>
      </c>
    </row>
    <row r="6" spans="1:6" ht="16.2" x14ac:dyDescent="0.35">
      <c r="A6" s="105">
        <v>1</v>
      </c>
      <c r="B6" s="7" t="s">
        <v>0</v>
      </c>
      <c r="C6" s="8"/>
      <c r="D6" s="123"/>
      <c r="E6" s="17"/>
      <c r="F6" s="124"/>
    </row>
    <row r="7" spans="1:6" ht="16.2" x14ac:dyDescent="0.35">
      <c r="A7" s="6"/>
      <c r="B7" s="7" t="s">
        <v>1</v>
      </c>
      <c r="C7" s="8"/>
      <c r="D7" s="123"/>
      <c r="E7" s="17"/>
      <c r="F7" s="124"/>
    </row>
    <row r="8" spans="1:6" ht="49.2" x14ac:dyDescent="0.35">
      <c r="A8" s="6">
        <v>1.1000000000000001</v>
      </c>
      <c r="B8" s="59" t="s">
        <v>236</v>
      </c>
      <c r="C8" s="9" t="s">
        <v>70</v>
      </c>
      <c r="D8" s="123">
        <v>1</v>
      </c>
      <c r="E8" s="17"/>
      <c r="F8" s="124">
        <f>E8*D8</f>
        <v>0</v>
      </c>
    </row>
    <row r="9" spans="1:6" ht="46.8" x14ac:dyDescent="0.35">
      <c r="A9" s="6">
        <v>1.2</v>
      </c>
      <c r="B9" s="10" t="s">
        <v>208</v>
      </c>
      <c r="C9" s="9" t="s">
        <v>71</v>
      </c>
      <c r="D9" s="123">
        <v>200</v>
      </c>
      <c r="E9" s="17"/>
      <c r="F9" s="124">
        <f>E9*D9</f>
        <v>0</v>
      </c>
    </row>
    <row r="10" spans="1:6" ht="16.2" x14ac:dyDescent="0.35">
      <c r="A10" s="6"/>
      <c r="B10" s="19" t="s">
        <v>78</v>
      </c>
      <c r="C10" s="9"/>
      <c r="D10" s="123"/>
      <c r="E10" s="17"/>
      <c r="F10" s="125">
        <f>SUM(F8:F9)</f>
        <v>0</v>
      </c>
    </row>
    <row r="11" spans="1:6" ht="16.2" x14ac:dyDescent="0.35">
      <c r="A11" s="105">
        <v>2</v>
      </c>
      <c r="B11" s="7" t="s">
        <v>3</v>
      </c>
      <c r="C11" s="8"/>
      <c r="D11" s="123"/>
      <c r="E11" s="17"/>
      <c r="F11" s="124"/>
    </row>
    <row r="12" spans="1:6" ht="16.2" x14ac:dyDescent="0.35">
      <c r="A12" s="6">
        <v>2.1</v>
      </c>
      <c r="B12" s="7" t="s">
        <v>4</v>
      </c>
      <c r="C12" s="8"/>
      <c r="D12" s="123"/>
      <c r="E12" s="17"/>
      <c r="F12" s="124"/>
    </row>
    <row r="13" spans="1:6" x14ac:dyDescent="0.35">
      <c r="A13" s="6"/>
      <c r="B13" s="11" t="s">
        <v>5</v>
      </c>
      <c r="C13" s="8"/>
      <c r="D13" s="123"/>
      <c r="E13" s="17"/>
      <c r="F13" s="124"/>
    </row>
    <row r="14" spans="1:6" ht="31.2" x14ac:dyDescent="0.35">
      <c r="A14" s="6"/>
      <c r="B14" s="10" t="s">
        <v>6</v>
      </c>
      <c r="C14" s="8" t="s">
        <v>7</v>
      </c>
      <c r="D14" s="123">
        <f>((10.5*3)+(9.6*3)+(3.2*2))*0.8*0.5</f>
        <v>26.680000000000003</v>
      </c>
      <c r="E14" s="17"/>
      <c r="F14" s="124">
        <f>E14*D14</f>
        <v>0</v>
      </c>
    </row>
    <row r="15" spans="1:6" x14ac:dyDescent="0.35">
      <c r="A15" s="6"/>
      <c r="B15" s="10" t="s">
        <v>8</v>
      </c>
      <c r="C15" s="8" t="s">
        <v>7</v>
      </c>
      <c r="D15" s="123">
        <f>1*1*1*9</f>
        <v>9</v>
      </c>
      <c r="E15" s="17"/>
      <c r="F15" s="124">
        <f t="shared" ref="F15:F46" si="0">E15*D15</f>
        <v>0</v>
      </c>
    </row>
    <row r="16" spans="1:6" ht="31.2" x14ac:dyDescent="0.35">
      <c r="A16" s="6"/>
      <c r="B16" s="12" t="s">
        <v>9</v>
      </c>
      <c r="C16" s="8" t="s">
        <v>10</v>
      </c>
      <c r="D16" s="123">
        <f>(1)</f>
        <v>1</v>
      </c>
      <c r="E16" s="17"/>
      <c r="F16" s="124">
        <f t="shared" si="0"/>
        <v>0</v>
      </c>
    </row>
    <row r="17" spans="1:8" x14ac:dyDescent="0.35">
      <c r="A17" s="6"/>
      <c r="B17" s="13" t="s">
        <v>11</v>
      </c>
      <c r="C17" s="8" t="s">
        <v>10</v>
      </c>
      <c r="D17" s="123">
        <f>(1)</f>
        <v>1</v>
      </c>
      <c r="E17" s="17"/>
      <c r="F17" s="124">
        <f t="shared" si="0"/>
        <v>0</v>
      </c>
    </row>
    <row r="18" spans="1:8" ht="16.2" x14ac:dyDescent="0.35">
      <c r="A18" s="6">
        <v>2.2000000000000002</v>
      </c>
      <c r="B18" s="7" t="s">
        <v>12</v>
      </c>
      <c r="C18" s="8"/>
      <c r="D18" s="123"/>
      <c r="E18" s="17"/>
      <c r="F18" s="124"/>
    </row>
    <row r="19" spans="1:8" x14ac:dyDescent="0.35">
      <c r="A19" s="6"/>
      <c r="B19" s="10" t="s">
        <v>13</v>
      </c>
      <c r="C19" s="8" t="s">
        <v>7</v>
      </c>
      <c r="D19" s="123">
        <f>((D14+D15)*0.3)</f>
        <v>10.704000000000002</v>
      </c>
      <c r="E19" s="17"/>
      <c r="F19" s="124">
        <f t="shared" si="0"/>
        <v>0</v>
      </c>
    </row>
    <row r="20" spans="1:8" ht="16.2" x14ac:dyDescent="0.35">
      <c r="A20" s="6">
        <v>2.2999999999999998</v>
      </c>
      <c r="B20" s="20" t="s">
        <v>14</v>
      </c>
      <c r="C20" s="8"/>
      <c r="D20" s="123"/>
      <c r="E20" s="17"/>
      <c r="F20" s="124">
        <f t="shared" si="0"/>
        <v>0</v>
      </c>
    </row>
    <row r="21" spans="1:8" x14ac:dyDescent="0.35">
      <c r="A21" s="6"/>
      <c r="B21" s="10" t="s">
        <v>15</v>
      </c>
      <c r="C21" s="8" t="s">
        <v>7</v>
      </c>
      <c r="D21" s="123">
        <f>D14+D15-D19</f>
        <v>24.976000000000006</v>
      </c>
      <c r="E21" s="17"/>
      <c r="F21" s="124">
        <f t="shared" si="0"/>
        <v>0</v>
      </c>
    </row>
    <row r="22" spans="1:8" ht="16.2" x14ac:dyDescent="0.35">
      <c r="A22" s="6">
        <v>2.4</v>
      </c>
      <c r="B22" s="20" t="s">
        <v>16</v>
      </c>
      <c r="C22" s="8"/>
      <c r="D22" s="123"/>
      <c r="E22" s="17"/>
      <c r="F22" s="124">
        <f t="shared" si="0"/>
        <v>0</v>
      </c>
    </row>
    <row r="23" spans="1:8" x14ac:dyDescent="0.35">
      <c r="A23" s="6"/>
      <c r="B23" s="10" t="s">
        <v>223</v>
      </c>
      <c r="C23" s="8" t="s">
        <v>2</v>
      </c>
      <c r="D23" s="123">
        <f>10.5*10*0.35</f>
        <v>36.75</v>
      </c>
      <c r="E23" s="17"/>
      <c r="F23" s="124">
        <f t="shared" si="0"/>
        <v>0</v>
      </c>
    </row>
    <row r="24" spans="1:8" x14ac:dyDescent="0.35">
      <c r="A24" s="6"/>
      <c r="B24" s="10" t="s">
        <v>17</v>
      </c>
      <c r="C24" s="8" t="s">
        <v>2</v>
      </c>
      <c r="D24" s="123">
        <f>10.5*10*0.05</f>
        <v>5.25</v>
      </c>
      <c r="E24" s="17"/>
      <c r="F24" s="124">
        <f t="shared" si="0"/>
        <v>0</v>
      </c>
    </row>
    <row r="25" spans="1:8" ht="16.2" x14ac:dyDescent="0.35">
      <c r="A25" s="6">
        <v>2.5</v>
      </c>
      <c r="B25" s="7" t="s">
        <v>23</v>
      </c>
      <c r="C25" s="8"/>
      <c r="D25" s="123"/>
      <c r="E25" s="17"/>
      <c r="F25" s="124">
        <f t="shared" si="0"/>
        <v>0</v>
      </c>
      <c r="H25" s="4" t="s">
        <v>109</v>
      </c>
    </row>
    <row r="26" spans="1:8" ht="31.2" x14ac:dyDescent="0.35">
      <c r="A26" s="6"/>
      <c r="B26" s="10" t="s">
        <v>24</v>
      </c>
      <c r="C26" s="8"/>
      <c r="D26" s="123"/>
      <c r="E26" s="17"/>
      <c r="F26" s="124">
        <f t="shared" si="0"/>
        <v>0</v>
      </c>
      <c r="G26" s="126"/>
    </row>
    <row r="27" spans="1:8" x14ac:dyDescent="0.35">
      <c r="A27" s="6"/>
      <c r="B27" s="13" t="s">
        <v>25</v>
      </c>
      <c r="C27" s="8" t="s">
        <v>7</v>
      </c>
      <c r="D27" s="123">
        <f>67*0.05*0.5</f>
        <v>1.675</v>
      </c>
      <c r="E27" s="17"/>
      <c r="F27" s="124">
        <f t="shared" si="0"/>
        <v>0</v>
      </c>
      <c r="G27" s="127"/>
    </row>
    <row r="28" spans="1:8" x14ac:dyDescent="0.35">
      <c r="A28" s="6"/>
      <c r="B28" s="13" t="s">
        <v>26</v>
      </c>
      <c r="C28" s="8" t="s">
        <v>7</v>
      </c>
      <c r="D28" s="123">
        <f>1*1*0.05*9</f>
        <v>0.45</v>
      </c>
      <c r="E28" s="17"/>
      <c r="F28" s="124">
        <f t="shared" si="0"/>
        <v>0</v>
      </c>
    </row>
    <row r="29" spans="1:8" ht="34.799999999999997" x14ac:dyDescent="0.35">
      <c r="A29" s="6"/>
      <c r="B29" s="14" t="s">
        <v>18</v>
      </c>
      <c r="C29" s="17"/>
      <c r="D29" s="128"/>
      <c r="E29" s="17"/>
      <c r="F29" s="124">
        <f t="shared" si="0"/>
        <v>0</v>
      </c>
    </row>
    <row r="30" spans="1:8" x14ac:dyDescent="0.35">
      <c r="A30" s="10"/>
      <c r="B30" s="10" t="s">
        <v>19</v>
      </c>
      <c r="C30" s="8" t="s">
        <v>7</v>
      </c>
      <c r="D30" s="128">
        <f>1*1*0.35*9</f>
        <v>3.15</v>
      </c>
      <c r="E30" s="17"/>
      <c r="F30" s="124">
        <f t="shared" si="0"/>
        <v>0</v>
      </c>
    </row>
    <row r="31" spans="1:8" x14ac:dyDescent="0.35">
      <c r="A31" s="10"/>
      <c r="B31" s="10" t="s">
        <v>219</v>
      </c>
      <c r="C31" s="8" t="s">
        <v>7</v>
      </c>
      <c r="D31" s="128">
        <f>0.2*0.2*1.2*9</f>
        <v>0.43200000000000005</v>
      </c>
      <c r="E31" s="17"/>
      <c r="F31" s="124">
        <f t="shared" si="0"/>
        <v>0</v>
      </c>
    </row>
    <row r="32" spans="1:8" x14ac:dyDescent="0.35">
      <c r="A32" s="10"/>
      <c r="B32" s="10" t="s">
        <v>72</v>
      </c>
      <c r="C32" s="8" t="s">
        <v>7</v>
      </c>
      <c r="D32" s="129">
        <f>67*0.2*0.4</f>
        <v>5.36</v>
      </c>
      <c r="E32" s="17"/>
      <c r="F32" s="124">
        <f t="shared" si="0"/>
        <v>0</v>
      </c>
    </row>
    <row r="33" spans="1:6" x14ac:dyDescent="0.35">
      <c r="A33" s="10"/>
      <c r="B33" s="10" t="s">
        <v>21</v>
      </c>
      <c r="C33" s="8" t="s">
        <v>7</v>
      </c>
      <c r="D33" s="128">
        <f>10*10.5*0.1</f>
        <v>10.5</v>
      </c>
      <c r="E33" s="17"/>
      <c r="F33" s="124">
        <f t="shared" si="0"/>
        <v>0</v>
      </c>
    </row>
    <row r="34" spans="1:6" x14ac:dyDescent="0.35">
      <c r="A34" s="10"/>
      <c r="B34" s="10" t="s">
        <v>221</v>
      </c>
      <c r="C34" s="8" t="s">
        <v>7</v>
      </c>
      <c r="D34" s="128">
        <f>10.5*1*0.1*2</f>
        <v>2.1</v>
      </c>
      <c r="E34" s="17"/>
      <c r="F34" s="124">
        <f t="shared" si="0"/>
        <v>0</v>
      </c>
    </row>
    <row r="35" spans="1:6" ht="46.8" x14ac:dyDescent="0.35">
      <c r="A35" s="6"/>
      <c r="B35" s="10" t="s">
        <v>20</v>
      </c>
      <c r="C35" s="8" t="s">
        <v>2</v>
      </c>
      <c r="D35" s="128">
        <f>10*10.5</f>
        <v>105</v>
      </c>
      <c r="E35" s="17"/>
      <c r="F35" s="124">
        <f t="shared" si="0"/>
        <v>0</v>
      </c>
    </row>
    <row r="36" spans="1:6" ht="16.2" x14ac:dyDescent="0.35">
      <c r="A36" s="6">
        <v>2.6</v>
      </c>
      <c r="B36" s="106" t="s">
        <v>27</v>
      </c>
      <c r="C36" s="17"/>
      <c r="D36" s="128"/>
      <c r="E36" s="17"/>
      <c r="F36" s="124">
        <f t="shared" si="0"/>
        <v>0</v>
      </c>
    </row>
    <row r="37" spans="1:6" ht="62.4" x14ac:dyDescent="0.35">
      <c r="A37" s="6"/>
      <c r="B37" s="2" t="s">
        <v>28</v>
      </c>
      <c r="C37" s="8" t="s">
        <v>2</v>
      </c>
      <c r="D37" s="129">
        <f>D33-D32</f>
        <v>5.14</v>
      </c>
      <c r="E37" s="17"/>
      <c r="F37" s="124">
        <f t="shared" si="0"/>
        <v>0</v>
      </c>
    </row>
    <row r="38" spans="1:6" ht="16.2" x14ac:dyDescent="0.35">
      <c r="A38" s="6">
        <v>2.7</v>
      </c>
      <c r="B38" s="106" t="s">
        <v>29</v>
      </c>
      <c r="C38" s="17"/>
      <c r="D38" s="128"/>
      <c r="E38" s="17"/>
      <c r="F38" s="124">
        <f t="shared" si="0"/>
        <v>0</v>
      </c>
    </row>
    <row r="39" spans="1:6" ht="46.8" x14ac:dyDescent="0.35">
      <c r="A39" s="6"/>
      <c r="B39" s="2" t="s">
        <v>30</v>
      </c>
      <c r="C39" s="8" t="s">
        <v>2</v>
      </c>
      <c r="D39" s="128">
        <f>D37</f>
        <v>5.14</v>
      </c>
      <c r="E39" s="17"/>
      <c r="F39" s="124">
        <f t="shared" si="0"/>
        <v>0</v>
      </c>
    </row>
    <row r="40" spans="1:6" ht="16.2" x14ac:dyDescent="0.35">
      <c r="A40" s="6">
        <v>2.8</v>
      </c>
      <c r="B40" s="106" t="s">
        <v>31</v>
      </c>
      <c r="C40" s="17"/>
      <c r="D40" s="128"/>
      <c r="E40" s="17"/>
      <c r="F40" s="124">
        <f t="shared" si="0"/>
        <v>0</v>
      </c>
    </row>
    <row r="41" spans="1:6" ht="48.6" x14ac:dyDescent="0.35">
      <c r="A41" s="6"/>
      <c r="B41" s="3" t="s">
        <v>80</v>
      </c>
      <c r="C41" s="17"/>
      <c r="D41" s="128"/>
      <c r="E41" s="17"/>
      <c r="F41" s="124">
        <f t="shared" si="0"/>
        <v>0</v>
      </c>
    </row>
    <row r="42" spans="1:6" ht="16.2" x14ac:dyDescent="0.35">
      <c r="A42" s="6"/>
      <c r="B42" s="1" t="s">
        <v>34</v>
      </c>
      <c r="C42" s="17" t="s">
        <v>7</v>
      </c>
      <c r="D42" s="129">
        <f>67*0.4*1.1</f>
        <v>29.480000000000004</v>
      </c>
      <c r="E42" s="17"/>
      <c r="F42" s="124">
        <f t="shared" si="0"/>
        <v>0</v>
      </c>
    </row>
    <row r="43" spans="1:6" ht="16.2" x14ac:dyDescent="0.35">
      <c r="A43" s="6">
        <v>2.9</v>
      </c>
      <c r="B43" s="1" t="s">
        <v>169</v>
      </c>
      <c r="C43" s="17"/>
      <c r="D43" s="128"/>
      <c r="E43" s="17"/>
      <c r="F43" s="124"/>
    </row>
    <row r="44" spans="1:6" ht="106.2" customHeight="1" x14ac:dyDescent="0.35">
      <c r="A44" s="6"/>
      <c r="B44" s="1" t="s">
        <v>228</v>
      </c>
      <c r="C44" s="17" t="s">
        <v>126</v>
      </c>
      <c r="D44" s="128">
        <v>1</v>
      </c>
      <c r="E44" s="17"/>
      <c r="F44" s="130">
        <f t="shared" si="0"/>
        <v>0</v>
      </c>
    </row>
    <row r="45" spans="1:6" ht="16.2" x14ac:dyDescent="0.35">
      <c r="A45" s="6"/>
      <c r="B45" s="107" t="s">
        <v>32</v>
      </c>
      <c r="C45" s="17"/>
      <c r="D45" s="128"/>
      <c r="E45" s="17"/>
      <c r="F45" s="124">
        <f t="shared" si="0"/>
        <v>0</v>
      </c>
    </row>
    <row r="46" spans="1:6" ht="16.2" x14ac:dyDescent="0.35">
      <c r="A46" s="6"/>
      <c r="B46" s="1" t="s">
        <v>33</v>
      </c>
      <c r="C46" s="17" t="s">
        <v>2</v>
      </c>
      <c r="D46" s="128">
        <f>65*1</f>
        <v>65</v>
      </c>
      <c r="E46" s="17"/>
      <c r="F46" s="124">
        <f t="shared" si="0"/>
        <v>0</v>
      </c>
    </row>
    <row r="47" spans="1:6" ht="16.2" x14ac:dyDescent="0.35">
      <c r="A47" s="6"/>
      <c r="B47" s="21" t="s">
        <v>83</v>
      </c>
      <c r="C47" s="17"/>
      <c r="D47" s="128"/>
      <c r="E47" s="17"/>
      <c r="F47" s="125">
        <f>SUM(F14:F46)</f>
        <v>0</v>
      </c>
    </row>
    <row r="48" spans="1:6" ht="16.2" x14ac:dyDescent="0.35">
      <c r="A48" s="105">
        <v>3</v>
      </c>
      <c r="B48" s="21" t="s">
        <v>81</v>
      </c>
      <c r="C48" s="17"/>
      <c r="D48" s="128"/>
      <c r="E48" s="17"/>
      <c r="F48" s="124"/>
    </row>
    <row r="49" spans="1:6" ht="16.2" x14ac:dyDescent="0.35">
      <c r="A49" s="6">
        <v>3.1</v>
      </c>
      <c r="B49" s="108" t="s">
        <v>37</v>
      </c>
      <c r="C49" s="17"/>
      <c r="D49" s="128"/>
      <c r="E49" s="17"/>
      <c r="F49" s="124"/>
    </row>
    <row r="50" spans="1:6" ht="34.799999999999997" x14ac:dyDescent="0.35">
      <c r="A50" s="6"/>
      <c r="B50" s="14" t="s">
        <v>18</v>
      </c>
      <c r="C50" s="17"/>
      <c r="D50" s="128"/>
      <c r="E50" s="17"/>
      <c r="F50" s="124"/>
    </row>
    <row r="51" spans="1:6" x14ac:dyDescent="0.35">
      <c r="A51" s="6"/>
      <c r="B51" s="109" t="s">
        <v>220</v>
      </c>
      <c r="C51" s="17" t="s">
        <v>7</v>
      </c>
      <c r="D51" s="128">
        <f>0.2*0.2*3.4*9</f>
        <v>1.2240000000000002</v>
      </c>
      <c r="E51" s="17"/>
      <c r="F51" s="124">
        <f>E51*D51</f>
        <v>0</v>
      </c>
    </row>
    <row r="52" spans="1:6" x14ac:dyDescent="0.35">
      <c r="A52" s="6"/>
      <c r="B52" s="109" t="s">
        <v>39</v>
      </c>
      <c r="C52" s="17" t="s">
        <v>7</v>
      </c>
      <c r="D52" s="128">
        <f>67*0.2*0.2</f>
        <v>2.68</v>
      </c>
      <c r="E52" s="17"/>
      <c r="F52" s="124">
        <f t="shared" ref="F52:F66" si="1">E52*D52</f>
        <v>0</v>
      </c>
    </row>
    <row r="53" spans="1:6" x14ac:dyDescent="0.35">
      <c r="A53" s="6"/>
      <c r="B53" s="109" t="s">
        <v>40</v>
      </c>
      <c r="C53" s="17" t="s">
        <v>7</v>
      </c>
      <c r="D53" s="128">
        <f>67*0.2*0.2</f>
        <v>2.68</v>
      </c>
      <c r="E53" s="17"/>
      <c r="F53" s="124">
        <f t="shared" si="1"/>
        <v>0</v>
      </c>
    </row>
    <row r="54" spans="1:6" ht="16.2" x14ac:dyDescent="0.35">
      <c r="A54" s="6">
        <v>3.2</v>
      </c>
      <c r="B54" s="108" t="s">
        <v>35</v>
      </c>
      <c r="C54" s="17"/>
      <c r="D54" s="128"/>
      <c r="E54" s="17"/>
      <c r="F54" s="124">
        <f t="shared" si="1"/>
        <v>0</v>
      </c>
    </row>
    <row r="55" spans="1:6" ht="52.2" x14ac:dyDescent="0.35">
      <c r="A55" s="6"/>
      <c r="B55" s="110" t="s">
        <v>41</v>
      </c>
      <c r="C55" s="17"/>
      <c r="D55" s="128"/>
      <c r="E55" s="17"/>
      <c r="F55" s="124">
        <f t="shared" si="1"/>
        <v>0</v>
      </c>
    </row>
    <row r="56" spans="1:6" x14ac:dyDescent="0.35">
      <c r="A56" s="6"/>
      <c r="B56" s="109" t="s">
        <v>36</v>
      </c>
      <c r="C56" s="17" t="s">
        <v>2</v>
      </c>
      <c r="D56" s="129">
        <f>((67*3)+(0.5*10*1.5))-((0.9*2.1*2)+(1.5*1.2*6)+(1.2*2.1*1))</f>
        <v>191.4</v>
      </c>
      <c r="E56" s="17"/>
      <c r="F56" s="124">
        <f t="shared" si="1"/>
        <v>0</v>
      </c>
    </row>
    <row r="57" spans="1:6" ht="16.8" x14ac:dyDescent="0.35">
      <c r="A57" s="6">
        <v>3.3</v>
      </c>
      <c r="B57" s="111" t="s">
        <v>42</v>
      </c>
      <c r="C57" s="17"/>
      <c r="D57" s="128"/>
      <c r="E57" s="17"/>
      <c r="F57" s="124">
        <f t="shared" si="1"/>
        <v>0</v>
      </c>
    </row>
    <row r="58" spans="1:6" ht="32.4" x14ac:dyDescent="0.4">
      <c r="A58" s="6"/>
      <c r="B58" s="112" t="s">
        <v>43</v>
      </c>
      <c r="C58" s="17"/>
      <c r="D58" s="128"/>
      <c r="E58" s="17"/>
      <c r="F58" s="124">
        <f t="shared" si="1"/>
        <v>0</v>
      </c>
    </row>
    <row r="59" spans="1:6" ht="16.2" customHeight="1" x14ac:dyDescent="0.4">
      <c r="A59" s="6"/>
      <c r="B59" s="113" t="s">
        <v>44</v>
      </c>
      <c r="C59" s="17" t="s">
        <v>2</v>
      </c>
      <c r="D59" s="128">
        <f>D56*2</f>
        <v>382.8</v>
      </c>
      <c r="E59" s="17"/>
      <c r="F59" s="124">
        <f t="shared" si="1"/>
        <v>0</v>
      </c>
    </row>
    <row r="60" spans="1:6" ht="33" customHeight="1" x14ac:dyDescent="0.4">
      <c r="A60" s="6"/>
      <c r="B60" s="112" t="s">
        <v>45</v>
      </c>
      <c r="C60" s="17"/>
      <c r="D60" s="128"/>
      <c r="E60" s="17"/>
      <c r="F60" s="124">
        <f t="shared" si="1"/>
        <v>0</v>
      </c>
    </row>
    <row r="61" spans="1:6" ht="16.2" x14ac:dyDescent="0.4">
      <c r="A61" s="6"/>
      <c r="B61" s="113" t="s">
        <v>46</v>
      </c>
      <c r="C61" s="17" t="s">
        <v>2</v>
      </c>
      <c r="D61" s="128">
        <f>D59</f>
        <v>382.8</v>
      </c>
      <c r="E61" s="17"/>
      <c r="F61" s="124">
        <f t="shared" si="1"/>
        <v>0</v>
      </c>
    </row>
    <row r="62" spans="1:6" ht="16.8" x14ac:dyDescent="0.45">
      <c r="A62" s="6">
        <v>3.4</v>
      </c>
      <c r="B62" s="114" t="s">
        <v>116</v>
      </c>
      <c r="C62" s="17"/>
      <c r="D62" s="128"/>
      <c r="E62" s="17"/>
      <c r="F62" s="124">
        <f t="shared" si="1"/>
        <v>0</v>
      </c>
    </row>
    <row r="63" spans="1:6" ht="46.8" customHeight="1" x14ac:dyDescent="0.4">
      <c r="A63" s="6"/>
      <c r="B63" s="113" t="s">
        <v>117</v>
      </c>
      <c r="C63" s="17" t="s">
        <v>214</v>
      </c>
      <c r="D63" s="128">
        <v>72</v>
      </c>
      <c r="E63" s="17"/>
      <c r="F63" s="124">
        <f t="shared" si="1"/>
        <v>0</v>
      </c>
    </row>
    <row r="64" spans="1:6" ht="16.8" x14ac:dyDescent="0.45">
      <c r="A64" s="6">
        <v>3.5</v>
      </c>
      <c r="B64" s="114" t="s">
        <v>48</v>
      </c>
      <c r="C64" s="17"/>
      <c r="D64" s="128"/>
      <c r="E64" s="17"/>
      <c r="F64" s="124">
        <f t="shared" si="1"/>
        <v>0</v>
      </c>
    </row>
    <row r="65" spans="1:6" ht="32.4" x14ac:dyDescent="0.4">
      <c r="A65" s="6"/>
      <c r="B65" s="113" t="s">
        <v>49</v>
      </c>
      <c r="C65" s="17" t="s">
        <v>2</v>
      </c>
      <c r="D65" s="128">
        <f>10.5*10</f>
        <v>105</v>
      </c>
      <c r="E65" s="17"/>
      <c r="F65" s="124">
        <f t="shared" si="1"/>
        <v>0</v>
      </c>
    </row>
    <row r="66" spans="1:6" ht="48.6" x14ac:dyDescent="0.4">
      <c r="A66" s="6"/>
      <c r="B66" s="113" t="s">
        <v>52</v>
      </c>
      <c r="C66" s="17" t="s">
        <v>2</v>
      </c>
      <c r="D66" s="128">
        <f>D65</f>
        <v>105</v>
      </c>
      <c r="E66" s="17"/>
      <c r="F66" s="124">
        <f t="shared" si="1"/>
        <v>0</v>
      </c>
    </row>
    <row r="67" spans="1:6" ht="16.2" customHeight="1" x14ac:dyDescent="0.45">
      <c r="A67" s="6"/>
      <c r="B67" s="114" t="s">
        <v>82</v>
      </c>
      <c r="C67" s="17"/>
      <c r="D67" s="128"/>
      <c r="E67" s="17"/>
      <c r="F67" s="125">
        <f>SUM(F51:F66)</f>
        <v>0</v>
      </c>
    </row>
    <row r="68" spans="1:6" ht="16.8" x14ac:dyDescent="0.45">
      <c r="A68" s="105">
        <v>4</v>
      </c>
      <c r="B68" s="114" t="s">
        <v>84</v>
      </c>
      <c r="C68" s="17"/>
      <c r="D68" s="128"/>
      <c r="E68" s="17"/>
      <c r="F68" s="124"/>
    </row>
    <row r="69" spans="1:6" ht="16.2" x14ac:dyDescent="0.35">
      <c r="A69" s="6">
        <v>4.0999999999999996</v>
      </c>
      <c r="B69" s="115" t="s">
        <v>85</v>
      </c>
      <c r="C69" s="17"/>
      <c r="D69" s="128"/>
      <c r="E69" s="17"/>
      <c r="F69" s="124"/>
    </row>
    <row r="70" spans="1:6" ht="109.2" x14ac:dyDescent="0.35">
      <c r="A70" s="6"/>
      <c r="B70" s="109" t="s">
        <v>218</v>
      </c>
      <c r="C70" s="17" t="s">
        <v>2</v>
      </c>
      <c r="D70" s="128">
        <f>10.5*10*1.1</f>
        <v>115.50000000000001</v>
      </c>
      <c r="E70" s="17"/>
      <c r="F70" s="124">
        <f>E70*D70</f>
        <v>0</v>
      </c>
    </row>
    <row r="71" spans="1:6" ht="16.2" x14ac:dyDescent="0.35">
      <c r="A71" s="6">
        <v>4.2</v>
      </c>
      <c r="B71" s="115" t="s">
        <v>59</v>
      </c>
      <c r="C71" s="17"/>
      <c r="D71" s="128"/>
      <c r="E71" s="17"/>
      <c r="F71" s="124">
        <f t="shared" ref="F71:F74" si="2">E71*D71</f>
        <v>0</v>
      </c>
    </row>
    <row r="72" spans="1:6" ht="48.6" x14ac:dyDescent="0.35">
      <c r="A72" s="6"/>
      <c r="B72" s="116" t="s">
        <v>224</v>
      </c>
      <c r="C72" s="17" t="s">
        <v>2</v>
      </c>
      <c r="D72" s="128">
        <f>10.5*10</f>
        <v>105</v>
      </c>
      <c r="E72" s="17"/>
      <c r="F72" s="124">
        <f t="shared" si="2"/>
        <v>0</v>
      </c>
    </row>
    <row r="73" spans="1:6" ht="16.2" x14ac:dyDescent="0.35">
      <c r="A73" s="6"/>
      <c r="B73" s="115" t="s">
        <v>60</v>
      </c>
      <c r="C73" s="17"/>
      <c r="D73" s="128"/>
      <c r="E73" s="17"/>
      <c r="F73" s="124">
        <f t="shared" si="2"/>
        <v>0</v>
      </c>
    </row>
    <row r="74" spans="1:6" x14ac:dyDescent="0.35">
      <c r="A74" s="6"/>
      <c r="B74" s="109" t="s">
        <v>61</v>
      </c>
      <c r="C74" s="17" t="s">
        <v>87</v>
      </c>
      <c r="D74" s="128">
        <v>45</v>
      </c>
      <c r="E74" s="17"/>
      <c r="F74" s="124">
        <f t="shared" si="2"/>
        <v>0</v>
      </c>
    </row>
    <row r="75" spans="1:6" ht="16.2" x14ac:dyDescent="0.35">
      <c r="A75" s="6"/>
      <c r="B75" s="108" t="s">
        <v>86</v>
      </c>
      <c r="C75" s="17"/>
      <c r="D75" s="128"/>
      <c r="E75" s="17"/>
      <c r="F75" s="125">
        <f>SUM(F70:F74)</f>
        <v>0</v>
      </c>
    </row>
    <row r="76" spans="1:6" ht="16.2" x14ac:dyDescent="0.35">
      <c r="A76" s="105">
        <v>5</v>
      </c>
      <c r="B76" s="108" t="s">
        <v>89</v>
      </c>
      <c r="C76" s="17"/>
      <c r="D76" s="128"/>
      <c r="E76" s="17"/>
      <c r="F76" s="124"/>
    </row>
    <row r="77" spans="1:6" x14ac:dyDescent="0.35">
      <c r="A77" s="6">
        <v>5.0999999999999996</v>
      </c>
      <c r="B77" s="6" t="s">
        <v>88</v>
      </c>
      <c r="C77" s="17"/>
      <c r="D77" s="128"/>
      <c r="E77" s="17"/>
      <c r="F77" s="124"/>
    </row>
    <row r="78" spans="1:6" ht="46.8" x14ac:dyDescent="0.35">
      <c r="A78" s="6"/>
      <c r="B78" s="109" t="s">
        <v>58</v>
      </c>
      <c r="C78" s="17"/>
      <c r="D78" s="128"/>
      <c r="E78" s="17"/>
      <c r="F78" s="124"/>
    </row>
    <row r="79" spans="1:6" x14ac:dyDescent="0.35">
      <c r="A79" s="6"/>
      <c r="B79" s="117" t="s">
        <v>197</v>
      </c>
      <c r="C79" s="17" t="s">
        <v>62</v>
      </c>
      <c r="D79" s="128">
        <v>1</v>
      </c>
      <c r="E79" s="17"/>
      <c r="F79" s="124">
        <f>E79*D79</f>
        <v>0</v>
      </c>
    </row>
    <row r="80" spans="1:6" x14ac:dyDescent="0.35">
      <c r="A80" s="6"/>
      <c r="B80" s="117" t="s">
        <v>198</v>
      </c>
      <c r="C80" s="17" t="s">
        <v>62</v>
      </c>
      <c r="D80" s="128">
        <v>2</v>
      </c>
      <c r="E80" s="17"/>
      <c r="F80" s="124">
        <f t="shared" ref="F80" si="3">E80*D80</f>
        <v>0</v>
      </c>
    </row>
    <row r="81" spans="1:6" ht="16.2" x14ac:dyDescent="0.35">
      <c r="A81" s="6">
        <v>5.3</v>
      </c>
      <c r="B81" s="108" t="s">
        <v>55</v>
      </c>
      <c r="C81" s="17"/>
      <c r="D81" s="128"/>
      <c r="E81" s="17"/>
      <c r="F81" s="124"/>
    </row>
    <row r="82" spans="1:6" ht="93.6" x14ac:dyDescent="0.35">
      <c r="A82" s="6"/>
      <c r="B82" s="109" t="s">
        <v>56</v>
      </c>
      <c r="C82" s="17"/>
      <c r="D82" s="128"/>
      <c r="E82" s="17"/>
      <c r="F82" s="124"/>
    </row>
    <row r="83" spans="1:6" x14ac:dyDescent="0.35">
      <c r="A83" s="6"/>
      <c r="B83" s="109" t="s">
        <v>76</v>
      </c>
      <c r="C83" s="17" t="s">
        <v>22</v>
      </c>
      <c r="D83" s="128">
        <f>6*1.5*1.2</f>
        <v>10.799999999999999</v>
      </c>
      <c r="E83" s="17"/>
      <c r="F83" s="124">
        <f>E83*D83</f>
        <v>0</v>
      </c>
    </row>
    <row r="84" spans="1:6" x14ac:dyDescent="0.35">
      <c r="A84" s="6"/>
      <c r="B84" s="6" t="s">
        <v>129</v>
      </c>
      <c r="C84" s="17" t="s">
        <v>22</v>
      </c>
      <c r="D84" s="128">
        <f>2*1.2*1.2</f>
        <v>2.88</v>
      </c>
      <c r="E84" s="17"/>
      <c r="F84" s="124">
        <f>E84*D84</f>
        <v>0</v>
      </c>
    </row>
    <row r="85" spans="1:6" ht="16.2" x14ac:dyDescent="0.4">
      <c r="A85" s="6"/>
      <c r="B85" s="23" t="s">
        <v>90</v>
      </c>
      <c r="C85" s="17"/>
      <c r="D85" s="128"/>
      <c r="E85" s="17"/>
      <c r="F85" s="125">
        <f>SUM(F79:F84)</f>
        <v>0</v>
      </c>
    </row>
    <row r="86" spans="1:6" ht="16.2" x14ac:dyDescent="0.4">
      <c r="A86" s="118">
        <v>6</v>
      </c>
      <c r="B86" s="23" t="s">
        <v>101</v>
      </c>
      <c r="C86" s="17"/>
      <c r="D86" s="128"/>
      <c r="E86" s="17"/>
      <c r="F86" s="124"/>
    </row>
    <row r="87" spans="1:6" ht="78" x14ac:dyDescent="0.35">
      <c r="A87" s="119">
        <v>6.1</v>
      </c>
      <c r="B87" s="109" t="s">
        <v>92</v>
      </c>
      <c r="C87" s="17" t="s">
        <v>70</v>
      </c>
      <c r="D87" s="128">
        <v>10</v>
      </c>
      <c r="E87" s="17"/>
      <c r="F87" s="124">
        <f>E87*D87</f>
        <v>0</v>
      </c>
    </row>
    <row r="88" spans="1:6" ht="61.95" customHeight="1" x14ac:dyDescent="0.35">
      <c r="A88" s="119">
        <v>6.2</v>
      </c>
      <c r="B88" s="109" t="s">
        <v>115</v>
      </c>
      <c r="C88" s="17" t="s">
        <v>62</v>
      </c>
      <c r="D88" s="128">
        <v>10</v>
      </c>
      <c r="E88" s="17"/>
      <c r="F88" s="124">
        <f t="shared" ref="F88:F93" si="4">E88*D88</f>
        <v>0</v>
      </c>
    </row>
    <row r="89" spans="1:6" ht="46.8" x14ac:dyDescent="0.35">
      <c r="A89" s="119">
        <v>6.3</v>
      </c>
      <c r="B89" s="109" t="s">
        <v>93</v>
      </c>
      <c r="C89" s="17" t="s">
        <v>62</v>
      </c>
      <c r="D89" s="128">
        <v>15</v>
      </c>
      <c r="E89" s="17"/>
      <c r="F89" s="124">
        <f t="shared" si="4"/>
        <v>0</v>
      </c>
    </row>
    <row r="90" spans="1:6" ht="93.6" x14ac:dyDescent="0.35">
      <c r="A90" s="119">
        <v>6.4</v>
      </c>
      <c r="B90" s="109" t="s">
        <v>94</v>
      </c>
      <c r="C90" s="17" t="s">
        <v>62</v>
      </c>
      <c r="D90" s="128">
        <v>5</v>
      </c>
      <c r="E90" s="17"/>
      <c r="F90" s="124">
        <f t="shared" si="4"/>
        <v>0</v>
      </c>
    </row>
    <row r="91" spans="1:6" ht="62.4" x14ac:dyDescent="0.35">
      <c r="A91" s="119">
        <v>6.5</v>
      </c>
      <c r="B91" s="109" t="s">
        <v>216</v>
      </c>
      <c r="C91" s="17" t="s">
        <v>62</v>
      </c>
      <c r="D91" s="128">
        <v>1</v>
      </c>
      <c r="E91" s="17"/>
      <c r="F91" s="124">
        <f t="shared" si="4"/>
        <v>0</v>
      </c>
    </row>
    <row r="92" spans="1:6" ht="62.4" x14ac:dyDescent="0.35">
      <c r="A92" s="119">
        <v>6.8</v>
      </c>
      <c r="B92" s="109" t="s">
        <v>95</v>
      </c>
      <c r="C92" s="17" t="s">
        <v>70</v>
      </c>
      <c r="D92" s="128">
        <v>1</v>
      </c>
      <c r="E92" s="17"/>
      <c r="F92" s="124">
        <f t="shared" si="4"/>
        <v>0</v>
      </c>
    </row>
    <row r="93" spans="1:6" x14ac:dyDescent="0.35">
      <c r="A93" s="119">
        <v>6.9</v>
      </c>
      <c r="B93" s="109" t="s">
        <v>103</v>
      </c>
      <c r="C93" s="17" t="s">
        <v>70</v>
      </c>
      <c r="D93" s="128">
        <v>1</v>
      </c>
      <c r="E93" s="17"/>
      <c r="F93" s="124">
        <f t="shared" si="4"/>
        <v>0</v>
      </c>
    </row>
    <row r="94" spans="1:6" ht="16.2" x14ac:dyDescent="0.4">
      <c r="A94" s="6"/>
      <c r="B94" s="23" t="s">
        <v>104</v>
      </c>
      <c r="C94" s="17"/>
      <c r="D94" s="128"/>
      <c r="E94" s="17"/>
      <c r="F94" s="125">
        <f>SUM(F87:F93)</f>
        <v>0</v>
      </c>
    </row>
    <row r="95" spans="1:6" ht="16.2" x14ac:dyDescent="0.4">
      <c r="A95" s="6"/>
      <c r="B95" s="23" t="s">
        <v>195</v>
      </c>
      <c r="C95" s="17"/>
      <c r="D95" s="128"/>
      <c r="E95" s="17"/>
      <c r="F95" s="125">
        <f>F94+F85+F75+F67+F47+F10</f>
        <v>0</v>
      </c>
    </row>
    <row r="101" spans="2:2" x14ac:dyDescent="0.35">
      <c r="B101" s="4" t="s">
        <v>109</v>
      </c>
    </row>
  </sheetData>
  <mergeCells count="4">
    <mergeCell ref="A1:F1"/>
    <mergeCell ref="A2:F2"/>
    <mergeCell ref="A3:F3"/>
    <mergeCell ref="A4:F4"/>
  </mergeCells>
  <phoneticPr fontId="16"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17"/>
  <sheetViews>
    <sheetView zoomScaleNormal="100" workbookViewId="0">
      <pane xSplit="5" ySplit="5" topLeftCell="F6" activePane="bottomRight" state="frozen"/>
      <selection pane="topRight" activeCell="F1" sqref="F1"/>
      <selection pane="bottomLeft" activeCell="A6" sqref="A6"/>
      <selection pane="bottomRight" activeCell="I20" sqref="I20"/>
    </sheetView>
  </sheetViews>
  <sheetFormatPr defaultColWidth="8.88671875" defaultRowHeight="15.6" x14ac:dyDescent="0.35"/>
  <cols>
    <col min="1" max="1" width="5.6640625" style="4" customWidth="1"/>
    <col min="2" max="2" width="62.88671875" style="4" customWidth="1"/>
    <col min="3" max="4" width="8.88671875" style="18"/>
    <col min="5" max="5" width="11.109375" style="18" customWidth="1"/>
    <col min="6" max="6" width="18" style="16" customWidth="1"/>
    <col min="7" max="16384" width="8.88671875" style="4"/>
  </cols>
  <sheetData>
    <row r="1" spans="1:6" x14ac:dyDescent="0.35">
      <c r="A1" s="154" t="s">
        <v>68</v>
      </c>
      <c r="B1" s="154"/>
      <c r="C1" s="154"/>
      <c r="D1" s="154"/>
      <c r="E1" s="154"/>
      <c r="F1" s="154"/>
    </row>
    <row r="2" spans="1:6" x14ac:dyDescent="0.35">
      <c r="A2" s="154" t="s">
        <v>193</v>
      </c>
      <c r="B2" s="154"/>
      <c r="C2" s="154"/>
      <c r="D2" s="154"/>
      <c r="E2" s="154"/>
      <c r="F2" s="154"/>
    </row>
    <row r="3" spans="1:6" x14ac:dyDescent="0.35">
      <c r="A3" s="154" t="s">
        <v>69</v>
      </c>
      <c r="B3" s="154"/>
      <c r="C3" s="154"/>
      <c r="D3" s="154"/>
      <c r="E3" s="154"/>
      <c r="F3" s="154"/>
    </row>
    <row r="4" spans="1:6" x14ac:dyDescent="0.35">
      <c r="A4" s="154" t="s">
        <v>119</v>
      </c>
      <c r="B4" s="154"/>
      <c r="C4" s="154"/>
      <c r="D4" s="154"/>
      <c r="E4" s="154"/>
      <c r="F4" s="154"/>
    </row>
    <row r="5" spans="1:6" s="27" customFormat="1" ht="16.2" x14ac:dyDescent="0.35">
      <c r="A5" s="25" t="s">
        <v>10</v>
      </c>
      <c r="B5" s="26" t="s">
        <v>63</v>
      </c>
      <c r="C5" s="25" t="s">
        <v>64</v>
      </c>
      <c r="D5" s="131" t="s">
        <v>65</v>
      </c>
      <c r="E5" s="104" t="s">
        <v>66</v>
      </c>
      <c r="F5" s="122" t="s">
        <v>67</v>
      </c>
    </row>
    <row r="6" spans="1:6" ht="16.2" x14ac:dyDescent="0.35">
      <c r="A6" s="105">
        <v>1</v>
      </c>
      <c r="B6" s="7" t="s">
        <v>0</v>
      </c>
      <c r="C6" s="8"/>
      <c r="D6" s="9"/>
      <c r="E6" s="17"/>
      <c r="F6" s="15"/>
    </row>
    <row r="7" spans="1:6" ht="16.2" x14ac:dyDescent="0.35">
      <c r="A7" s="6"/>
      <c r="B7" s="7" t="s">
        <v>1</v>
      </c>
      <c r="C7" s="8"/>
      <c r="D7" s="9"/>
      <c r="E7" s="17"/>
      <c r="F7" s="15"/>
    </row>
    <row r="8" spans="1:6" ht="49.2" x14ac:dyDescent="0.35">
      <c r="A8" s="6">
        <v>1.1000000000000001</v>
      </c>
      <c r="B8" s="59" t="s">
        <v>236</v>
      </c>
      <c r="C8" s="9" t="s">
        <v>70</v>
      </c>
      <c r="D8" s="9">
        <v>1</v>
      </c>
      <c r="E8" s="17"/>
      <c r="F8" s="15">
        <f>E8*D8</f>
        <v>0</v>
      </c>
    </row>
    <row r="9" spans="1:6" ht="46.8" x14ac:dyDescent="0.35">
      <c r="A9" s="6">
        <v>1.2</v>
      </c>
      <c r="B9" s="10" t="s">
        <v>208</v>
      </c>
      <c r="C9" s="9" t="s">
        <v>71</v>
      </c>
      <c r="D9" s="9">
        <v>200</v>
      </c>
      <c r="E9" s="17"/>
      <c r="F9" s="15">
        <f>E9*D9</f>
        <v>0</v>
      </c>
    </row>
    <row r="10" spans="1:6" ht="16.2" x14ac:dyDescent="0.4">
      <c r="A10" s="6"/>
      <c r="B10" s="19" t="s">
        <v>78</v>
      </c>
      <c r="C10" s="9"/>
      <c r="D10" s="9"/>
      <c r="E10" s="17"/>
      <c r="F10" s="22">
        <f>SUM(F8:F9)</f>
        <v>0</v>
      </c>
    </row>
    <row r="11" spans="1:6" ht="16.2" x14ac:dyDescent="0.35">
      <c r="A11" s="105">
        <v>2</v>
      </c>
      <c r="B11" s="7" t="s">
        <v>3</v>
      </c>
      <c r="C11" s="8"/>
      <c r="D11" s="9"/>
      <c r="E11" s="17"/>
      <c r="F11" s="15"/>
    </row>
    <row r="12" spans="1:6" ht="16.2" x14ac:dyDescent="0.35">
      <c r="A12" s="6">
        <v>2.1</v>
      </c>
      <c r="B12" s="7" t="s">
        <v>4</v>
      </c>
      <c r="C12" s="8"/>
      <c r="D12" s="9"/>
      <c r="E12" s="17"/>
      <c r="F12" s="15"/>
    </row>
    <row r="13" spans="1:6" x14ac:dyDescent="0.35">
      <c r="A13" s="6"/>
      <c r="B13" s="11" t="s">
        <v>5</v>
      </c>
      <c r="C13" s="8"/>
      <c r="D13" s="9"/>
      <c r="E13" s="17"/>
      <c r="F13" s="15"/>
    </row>
    <row r="14" spans="1:6" ht="31.2" x14ac:dyDescent="0.35">
      <c r="A14" s="6"/>
      <c r="B14" s="10" t="s">
        <v>6</v>
      </c>
      <c r="C14" s="8" t="s">
        <v>7</v>
      </c>
      <c r="D14" s="9">
        <f>((13*2)+(10.5*2)+(1.5+2.2))*0.8*0.5</f>
        <v>20.28</v>
      </c>
      <c r="E14" s="17"/>
      <c r="F14" s="15">
        <f>E14*D14</f>
        <v>0</v>
      </c>
    </row>
    <row r="15" spans="1:6" x14ac:dyDescent="0.35">
      <c r="A15" s="6"/>
      <c r="B15" s="10" t="s">
        <v>8</v>
      </c>
      <c r="C15" s="8" t="s">
        <v>7</v>
      </c>
      <c r="D15" s="9">
        <f>1*1*1*12</f>
        <v>12</v>
      </c>
      <c r="E15" s="17"/>
      <c r="F15" s="15">
        <f t="shared" ref="F15:F46" si="0">E15*D15</f>
        <v>0</v>
      </c>
    </row>
    <row r="16" spans="1:6" ht="31.2" x14ac:dyDescent="0.35">
      <c r="A16" s="6"/>
      <c r="B16" s="12" t="s">
        <v>9</v>
      </c>
      <c r="C16" s="8" t="s">
        <v>10</v>
      </c>
      <c r="D16" s="9">
        <f>(1)</f>
        <v>1</v>
      </c>
      <c r="E16" s="17"/>
      <c r="F16" s="15">
        <f t="shared" si="0"/>
        <v>0</v>
      </c>
    </row>
    <row r="17" spans="1:6" x14ac:dyDescent="0.35">
      <c r="A17" s="6"/>
      <c r="B17" s="13" t="s">
        <v>11</v>
      </c>
      <c r="C17" s="8" t="s">
        <v>10</v>
      </c>
      <c r="D17" s="9">
        <f>(1)</f>
        <v>1</v>
      </c>
      <c r="E17" s="17"/>
      <c r="F17" s="15">
        <f t="shared" si="0"/>
        <v>0</v>
      </c>
    </row>
    <row r="18" spans="1:6" ht="16.2" x14ac:dyDescent="0.35">
      <c r="A18" s="6">
        <v>2.2000000000000002</v>
      </c>
      <c r="B18" s="7" t="s">
        <v>12</v>
      </c>
      <c r="C18" s="8"/>
      <c r="D18" s="9"/>
      <c r="E18" s="17"/>
      <c r="F18" s="15"/>
    </row>
    <row r="19" spans="1:6" x14ac:dyDescent="0.35">
      <c r="A19" s="6"/>
      <c r="B19" s="10" t="s">
        <v>13</v>
      </c>
      <c r="C19" s="8" t="s">
        <v>7</v>
      </c>
      <c r="D19" s="9">
        <f>((D14+D15)*0.3)</f>
        <v>9.6839999999999993</v>
      </c>
      <c r="E19" s="17"/>
      <c r="F19" s="15">
        <f t="shared" si="0"/>
        <v>0</v>
      </c>
    </row>
    <row r="20" spans="1:6" ht="16.2" x14ac:dyDescent="0.35">
      <c r="A20" s="6">
        <v>2.2999999999999998</v>
      </c>
      <c r="B20" s="20" t="s">
        <v>14</v>
      </c>
      <c r="C20" s="8"/>
      <c r="D20" s="9"/>
      <c r="E20" s="17"/>
      <c r="F20" s="15">
        <f t="shared" si="0"/>
        <v>0</v>
      </c>
    </row>
    <row r="21" spans="1:6" x14ac:dyDescent="0.35">
      <c r="A21" s="6"/>
      <c r="B21" s="10" t="s">
        <v>15</v>
      </c>
      <c r="C21" s="8" t="s">
        <v>7</v>
      </c>
      <c r="D21" s="9">
        <f>D14+D15-D19</f>
        <v>22.596000000000004</v>
      </c>
      <c r="E21" s="17"/>
      <c r="F21" s="15">
        <f t="shared" si="0"/>
        <v>0</v>
      </c>
    </row>
    <row r="22" spans="1:6" ht="16.2" x14ac:dyDescent="0.35">
      <c r="A22" s="6">
        <v>2.4</v>
      </c>
      <c r="B22" s="20" t="s">
        <v>16</v>
      </c>
      <c r="C22" s="8"/>
      <c r="D22" s="9"/>
      <c r="E22" s="17"/>
      <c r="F22" s="15">
        <f t="shared" si="0"/>
        <v>0</v>
      </c>
    </row>
    <row r="23" spans="1:6" x14ac:dyDescent="0.35">
      <c r="A23" s="6"/>
      <c r="B23" s="10" t="s">
        <v>223</v>
      </c>
      <c r="C23" s="8" t="s">
        <v>2</v>
      </c>
      <c r="D23" s="9">
        <f>13*10.5*0.35</f>
        <v>47.774999999999999</v>
      </c>
      <c r="E23" s="17"/>
      <c r="F23" s="15">
        <f t="shared" si="0"/>
        <v>0</v>
      </c>
    </row>
    <row r="24" spans="1:6" x14ac:dyDescent="0.35">
      <c r="A24" s="6"/>
      <c r="B24" s="10" t="s">
        <v>17</v>
      </c>
      <c r="C24" s="8" t="s">
        <v>2</v>
      </c>
      <c r="D24" s="9">
        <f>13*10.5*0.05</f>
        <v>6.8250000000000002</v>
      </c>
      <c r="E24" s="17"/>
      <c r="F24" s="15">
        <f t="shared" si="0"/>
        <v>0</v>
      </c>
    </row>
    <row r="25" spans="1:6" ht="16.2" x14ac:dyDescent="0.35">
      <c r="A25" s="6">
        <v>2.5</v>
      </c>
      <c r="B25" s="7" t="s">
        <v>23</v>
      </c>
      <c r="C25" s="8"/>
      <c r="D25" s="9"/>
      <c r="E25" s="17"/>
      <c r="F25" s="15">
        <f t="shared" si="0"/>
        <v>0</v>
      </c>
    </row>
    <row r="26" spans="1:6" ht="31.2" x14ac:dyDescent="0.35">
      <c r="A26" s="6"/>
      <c r="B26" s="10" t="s">
        <v>24</v>
      </c>
      <c r="C26" s="8"/>
      <c r="D26" s="9"/>
      <c r="E26" s="17"/>
      <c r="F26" s="15">
        <f t="shared" si="0"/>
        <v>0</v>
      </c>
    </row>
    <row r="27" spans="1:6" x14ac:dyDescent="0.35">
      <c r="A27" s="6"/>
      <c r="B27" s="13" t="s">
        <v>25</v>
      </c>
      <c r="C27" s="8" t="s">
        <v>7</v>
      </c>
      <c r="D27" s="9">
        <f>51*0.05*0.5</f>
        <v>1.2750000000000001</v>
      </c>
      <c r="E27" s="17"/>
      <c r="F27" s="15">
        <f t="shared" si="0"/>
        <v>0</v>
      </c>
    </row>
    <row r="28" spans="1:6" x14ac:dyDescent="0.35">
      <c r="A28" s="6"/>
      <c r="B28" s="13" t="s">
        <v>26</v>
      </c>
      <c r="C28" s="8" t="s">
        <v>7</v>
      </c>
      <c r="D28" s="9">
        <f>1*1*0.05*12</f>
        <v>0.60000000000000009</v>
      </c>
      <c r="E28" s="17"/>
      <c r="F28" s="15">
        <f t="shared" si="0"/>
        <v>0</v>
      </c>
    </row>
    <row r="29" spans="1:6" ht="34.799999999999997" x14ac:dyDescent="0.35">
      <c r="A29" s="6"/>
      <c r="B29" s="14" t="s">
        <v>18</v>
      </c>
      <c r="C29" s="17"/>
      <c r="D29" s="17"/>
      <c r="E29" s="17"/>
      <c r="F29" s="15">
        <f t="shared" si="0"/>
        <v>0</v>
      </c>
    </row>
    <row r="30" spans="1:6" x14ac:dyDescent="0.35">
      <c r="A30" s="10"/>
      <c r="B30" s="10" t="s">
        <v>19</v>
      </c>
      <c r="C30" s="8" t="s">
        <v>7</v>
      </c>
      <c r="D30" s="17">
        <f>1*1*0.35*12</f>
        <v>4.1999999999999993</v>
      </c>
      <c r="E30" s="17"/>
      <c r="F30" s="15">
        <f t="shared" si="0"/>
        <v>0</v>
      </c>
    </row>
    <row r="31" spans="1:6" x14ac:dyDescent="0.35">
      <c r="A31" s="10"/>
      <c r="B31" s="10" t="s">
        <v>219</v>
      </c>
      <c r="C31" s="8" t="s">
        <v>7</v>
      </c>
      <c r="D31" s="17">
        <f>0.2*0.2*1.2*12</f>
        <v>0.57600000000000007</v>
      </c>
      <c r="E31" s="17"/>
      <c r="F31" s="15">
        <f t="shared" si="0"/>
        <v>0</v>
      </c>
    </row>
    <row r="32" spans="1:6" x14ac:dyDescent="0.35">
      <c r="A32" s="10"/>
      <c r="B32" s="10" t="s">
        <v>72</v>
      </c>
      <c r="C32" s="8" t="s">
        <v>7</v>
      </c>
      <c r="D32" s="17">
        <f>51*0.2*0.4</f>
        <v>4.080000000000001</v>
      </c>
      <c r="E32" s="17"/>
      <c r="F32" s="15">
        <f t="shared" si="0"/>
        <v>0</v>
      </c>
    </row>
    <row r="33" spans="1:6" x14ac:dyDescent="0.35">
      <c r="A33" s="10"/>
      <c r="B33" s="10" t="s">
        <v>21</v>
      </c>
      <c r="C33" s="8" t="s">
        <v>7</v>
      </c>
      <c r="D33" s="17">
        <f>13*10.5*0.1</f>
        <v>13.65</v>
      </c>
      <c r="E33" s="17"/>
      <c r="F33" s="15">
        <f t="shared" si="0"/>
        <v>0</v>
      </c>
    </row>
    <row r="34" spans="1:6" x14ac:dyDescent="0.35">
      <c r="A34" s="10"/>
      <c r="B34" s="10" t="s">
        <v>221</v>
      </c>
      <c r="C34" s="8" t="s">
        <v>7</v>
      </c>
      <c r="D34" s="17">
        <f>13*2*0.1*1</f>
        <v>2.6</v>
      </c>
      <c r="E34" s="17"/>
      <c r="F34" s="15">
        <f t="shared" si="0"/>
        <v>0</v>
      </c>
    </row>
    <row r="35" spans="1:6" ht="46.8" x14ac:dyDescent="0.35">
      <c r="A35" s="6"/>
      <c r="B35" s="10" t="s">
        <v>20</v>
      </c>
      <c r="C35" s="8" t="s">
        <v>2</v>
      </c>
      <c r="D35" s="17">
        <f>13*10.5</f>
        <v>136.5</v>
      </c>
      <c r="E35" s="17"/>
      <c r="F35" s="15">
        <f t="shared" si="0"/>
        <v>0</v>
      </c>
    </row>
    <row r="36" spans="1:6" ht="16.2" x14ac:dyDescent="0.35">
      <c r="A36" s="6">
        <v>2.6</v>
      </c>
      <c r="B36" s="106" t="s">
        <v>27</v>
      </c>
      <c r="C36" s="17"/>
      <c r="D36" s="17"/>
      <c r="E36" s="17"/>
      <c r="F36" s="15">
        <f t="shared" si="0"/>
        <v>0</v>
      </c>
    </row>
    <row r="37" spans="1:6" ht="62.4" x14ac:dyDescent="0.35">
      <c r="A37" s="6"/>
      <c r="B37" s="2" t="s">
        <v>28</v>
      </c>
      <c r="C37" s="8" t="s">
        <v>2</v>
      </c>
      <c r="D37" s="17">
        <f>D33-D32</f>
        <v>9.57</v>
      </c>
      <c r="E37" s="17"/>
      <c r="F37" s="15">
        <f t="shared" si="0"/>
        <v>0</v>
      </c>
    </row>
    <row r="38" spans="1:6" ht="16.2" x14ac:dyDescent="0.35">
      <c r="A38" s="6">
        <v>2.7</v>
      </c>
      <c r="B38" s="106" t="s">
        <v>29</v>
      </c>
      <c r="C38" s="17"/>
      <c r="D38" s="17"/>
      <c r="E38" s="17"/>
      <c r="F38" s="15">
        <f t="shared" si="0"/>
        <v>0</v>
      </c>
    </row>
    <row r="39" spans="1:6" ht="46.8" x14ac:dyDescent="0.35">
      <c r="A39" s="6"/>
      <c r="B39" s="2" t="s">
        <v>30</v>
      </c>
      <c r="C39" s="8" t="s">
        <v>2</v>
      </c>
      <c r="D39" s="17">
        <f>D37</f>
        <v>9.57</v>
      </c>
      <c r="E39" s="17"/>
      <c r="F39" s="15">
        <f t="shared" si="0"/>
        <v>0</v>
      </c>
    </row>
    <row r="40" spans="1:6" ht="16.2" x14ac:dyDescent="0.35">
      <c r="A40" s="6">
        <v>2.8</v>
      </c>
      <c r="B40" s="106" t="s">
        <v>31</v>
      </c>
      <c r="C40" s="17"/>
      <c r="D40" s="17"/>
      <c r="E40" s="17"/>
      <c r="F40" s="15">
        <f t="shared" si="0"/>
        <v>0</v>
      </c>
    </row>
    <row r="41" spans="1:6" ht="48.6" x14ac:dyDescent="0.35">
      <c r="A41" s="6"/>
      <c r="B41" s="3" t="s">
        <v>80</v>
      </c>
      <c r="C41" s="17"/>
      <c r="D41" s="17"/>
      <c r="E41" s="17"/>
      <c r="F41" s="15">
        <f t="shared" si="0"/>
        <v>0</v>
      </c>
    </row>
    <row r="42" spans="1:6" ht="16.2" x14ac:dyDescent="0.35">
      <c r="A42" s="6">
        <v>2.9</v>
      </c>
      <c r="B42" s="1" t="s">
        <v>34</v>
      </c>
      <c r="C42" s="17" t="s">
        <v>7</v>
      </c>
      <c r="D42" s="132">
        <f>51*0.4*1.1</f>
        <v>22.440000000000005</v>
      </c>
      <c r="E42" s="17"/>
      <c r="F42" s="15">
        <f t="shared" si="0"/>
        <v>0</v>
      </c>
    </row>
    <row r="43" spans="1:6" ht="16.2" x14ac:dyDescent="0.35">
      <c r="A43" s="6"/>
      <c r="B43" s="1" t="s">
        <v>168</v>
      </c>
      <c r="C43" s="17"/>
      <c r="D43" s="17"/>
      <c r="E43" s="17"/>
      <c r="F43" s="15"/>
    </row>
    <row r="44" spans="1:6" ht="113.4" x14ac:dyDescent="0.35">
      <c r="A44" s="6"/>
      <c r="B44" s="3" t="s">
        <v>227</v>
      </c>
      <c r="C44" s="17" t="s">
        <v>126</v>
      </c>
      <c r="D44" s="17">
        <v>1</v>
      </c>
      <c r="E44" s="17"/>
      <c r="F44" s="31">
        <f t="shared" si="0"/>
        <v>0</v>
      </c>
    </row>
    <row r="45" spans="1:6" ht="16.2" x14ac:dyDescent="0.35">
      <c r="A45" s="6"/>
      <c r="B45" s="107" t="s">
        <v>32</v>
      </c>
      <c r="C45" s="17"/>
      <c r="D45" s="17"/>
      <c r="E45" s="17"/>
      <c r="F45" s="15">
        <f t="shared" si="0"/>
        <v>0</v>
      </c>
    </row>
    <row r="46" spans="1:6" ht="16.2" x14ac:dyDescent="0.35">
      <c r="A46" s="6"/>
      <c r="B46" s="1" t="s">
        <v>33</v>
      </c>
      <c r="C46" s="17" t="s">
        <v>2</v>
      </c>
      <c r="D46" s="17">
        <v>51</v>
      </c>
      <c r="E46" s="17"/>
      <c r="F46" s="15">
        <f t="shared" si="0"/>
        <v>0</v>
      </c>
    </row>
    <row r="47" spans="1:6" ht="16.2" x14ac:dyDescent="0.4">
      <c r="A47" s="6"/>
      <c r="B47" s="21" t="s">
        <v>83</v>
      </c>
      <c r="C47" s="17"/>
      <c r="D47" s="17"/>
      <c r="E47" s="17"/>
      <c r="F47" s="22">
        <f>SUM(F14:F46)</f>
        <v>0</v>
      </c>
    </row>
    <row r="48" spans="1:6" ht="16.2" x14ac:dyDescent="0.35">
      <c r="A48" s="105">
        <v>3</v>
      </c>
      <c r="B48" s="21" t="s">
        <v>81</v>
      </c>
      <c r="C48" s="17"/>
      <c r="D48" s="17"/>
      <c r="E48" s="17"/>
      <c r="F48" s="15"/>
    </row>
    <row r="49" spans="1:6" ht="16.2" x14ac:dyDescent="0.35">
      <c r="A49" s="6">
        <v>3.1</v>
      </c>
      <c r="B49" s="108" t="s">
        <v>37</v>
      </c>
      <c r="C49" s="17"/>
      <c r="D49" s="17"/>
      <c r="E49" s="17"/>
      <c r="F49" s="15"/>
    </row>
    <row r="50" spans="1:6" ht="34.799999999999997" x14ac:dyDescent="0.35">
      <c r="A50" s="6"/>
      <c r="B50" s="14" t="s">
        <v>18</v>
      </c>
      <c r="C50" s="17"/>
      <c r="D50" s="17"/>
      <c r="E50" s="17"/>
      <c r="F50" s="15"/>
    </row>
    <row r="51" spans="1:6" x14ac:dyDescent="0.35">
      <c r="A51" s="6"/>
      <c r="B51" s="109" t="s">
        <v>220</v>
      </c>
      <c r="C51" s="17" t="s">
        <v>7</v>
      </c>
      <c r="D51" s="17">
        <f>0.2*0.2*3.4*12</f>
        <v>1.6320000000000001</v>
      </c>
      <c r="E51" s="17"/>
      <c r="F51" s="15">
        <f>E51*D51</f>
        <v>0</v>
      </c>
    </row>
    <row r="52" spans="1:6" x14ac:dyDescent="0.35">
      <c r="A52" s="6"/>
      <c r="B52" s="109" t="s">
        <v>39</v>
      </c>
      <c r="C52" s="17" t="s">
        <v>7</v>
      </c>
      <c r="D52" s="17">
        <f>51*0.2*0.2</f>
        <v>2.0400000000000005</v>
      </c>
      <c r="E52" s="17"/>
      <c r="F52" s="15">
        <f t="shared" ref="F52:F68" si="1">E52*D52</f>
        <v>0</v>
      </c>
    </row>
    <row r="53" spans="1:6" x14ac:dyDescent="0.35">
      <c r="A53" s="6"/>
      <c r="B53" s="109" t="s">
        <v>40</v>
      </c>
      <c r="C53" s="17" t="s">
        <v>7</v>
      </c>
      <c r="D53" s="17">
        <f>60*0.2*0.2</f>
        <v>2.4000000000000004</v>
      </c>
      <c r="E53" s="17"/>
      <c r="F53" s="15">
        <f t="shared" si="1"/>
        <v>0</v>
      </c>
    </row>
    <row r="54" spans="1:6" ht="16.2" x14ac:dyDescent="0.35">
      <c r="A54" s="6">
        <v>3.2</v>
      </c>
      <c r="B54" s="108" t="s">
        <v>35</v>
      </c>
      <c r="C54" s="17"/>
      <c r="D54" s="17"/>
      <c r="E54" s="17"/>
      <c r="F54" s="15">
        <f t="shared" si="1"/>
        <v>0</v>
      </c>
    </row>
    <row r="55" spans="1:6" ht="52.2" x14ac:dyDescent="0.35">
      <c r="A55" s="6"/>
      <c r="B55" s="110" t="s">
        <v>41</v>
      </c>
      <c r="C55" s="17"/>
      <c r="D55" s="17"/>
      <c r="E55" s="17"/>
      <c r="F55" s="15">
        <f t="shared" si="1"/>
        <v>0</v>
      </c>
    </row>
    <row r="56" spans="1:6" x14ac:dyDescent="0.35">
      <c r="A56" s="6"/>
      <c r="B56" s="109" t="s">
        <v>36</v>
      </c>
      <c r="C56" s="17" t="s">
        <v>2</v>
      </c>
      <c r="D56" s="17">
        <f>((51*3)+(0.5*10.5*1.5))-((2*2.1*3)+(6*1.2*1.5))</f>
        <v>137.47499999999999</v>
      </c>
      <c r="E56" s="17"/>
      <c r="F56" s="15">
        <f t="shared" si="1"/>
        <v>0</v>
      </c>
    </row>
    <row r="57" spans="1:6" ht="16.8" x14ac:dyDescent="0.35">
      <c r="A57" s="6">
        <v>3.3</v>
      </c>
      <c r="B57" s="111" t="s">
        <v>42</v>
      </c>
      <c r="C57" s="17"/>
      <c r="D57" s="17"/>
      <c r="E57" s="17"/>
      <c r="F57" s="15">
        <f t="shared" si="1"/>
        <v>0</v>
      </c>
    </row>
    <row r="58" spans="1:6" ht="32.4" x14ac:dyDescent="0.4">
      <c r="A58" s="6"/>
      <c r="B58" s="112" t="s">
        <v>43</v>
      </c>
      <c r="C58" s="17"/>
      <c r="D58" s="17"/>
      <c r="E58" s="17"/>
      <c r="F58" s="15">
        <f t="shared" si="1"/>
        <v>0</v>
      </c>
    </row>
    <row r="59" spans="1:6" ht="16.2" customHeight="1" x14ac:dyDescent="0.4">
      <c r="A59" s="6"/>
      <c r="B59" s="113" t="s">
        <v>44</v>
      </c>
      <c r="C59" s="17" t="s">
        <v>2</v>
      </c>
      <c r="D59" s="17">
        <f>D56*2</f>
        <v>274.95</v>
      </c>
      <c r="E59" s="17"/>
      <c r="F59" s="15">
        <f t="shared" si="1"/>
        <v>0</v>
      </c>
    </row>
    <row r="60" spans="1:6" ht="33" customHeight="1" x14ac:dyDescent="0.4">
      <c r="A60" s="6"/>
      <c r="B60" s="112" t="s">
        <v>45</v>
      </c>
      <c r="C60" s="17"/>
      <c r="D60" s="17"/>
      <c r="E60" s="17"/>
      <c r="F60" s="15">
        <f t="shared" si="1"/>
        <v>0</v>
      </c>
    </row>
    <row r="61" spans="1:6" ht="16.2" x14ac:dyDescent="0.4">
      <c r="A61" s="6"/>
      <c r="B61" s="113" t="s">
        <v>46</v>
      </c>
      <c r="C61" s="17" t="s">
        <v>2</v>
      </c>
      <c r="D61" s="17">
        <f>D59</f>
        <v>274.95</v>
      </c>
      <c r="E61" s="17"/>
      <c r="F61" s="15">
        <f t="shared" si="1"/>
        <v>0</v>
      </c>
    </row>
    <row r="62" spans="1:6" ht="16.8" x14ac:dyDescent="0.45">
      <c r="A62" s="6">
        <v>3.4</v>
      </c>
      <c r="B62" s="114" t="s">
        <v>50</v>
      </c>
      <c r="C62" s="17"/>
      <c r="D62" s="17"/>
      <c r="E62" s="17"/>
      <c r="F62" s="15">
        <f t="shared" si="1"/>
        <v>0</v>
      </c>
    </row>
    <row r="63" spans="1:6" ht="32.4" x14ac:dyDescent="0.4">
      <c r="A63" s="6"/>
      <c r="B63" s="113" t="s">
        <v>47</v>
      </c>
      <c r="C63" s="17" t="s">
        <v>2</v>
      </c>
      <c r="D63" s="17">
        <f>3.7*2</f>
        <v>7.4</v>
      </c>
      <c r="E63" s="17"/>
      <c r="F63" s="15">
        <f t="shared" si="1"/>
        <v>0</v>
      </c>
    </row>
    <row r="64" spans="1:6" ht="48.6" x14ac:dyDescent="0.4">
      <c r="A64" s="6"/>
      <c r="B64" s="113" t="s">
        <v>51</v>
      </c>
      <c r="C64" s="17" t="s">
        <v>2</v>
      </c>
      <c r="D64" s="17">
        <f>D63</f>
        <v>7.4</v>
      </c>
      <c r="E64" s="17"/>
      <c r="F64" s="15">
        <f t="shared" si="1"/>
        <v>0</v>
      </c>
    </row>
    <row r="65" spans="1:6" ht="16.8" x14ac:dyDescent="0.45">
      <c r="A65" s="6">
        <v>3.5</v>
      </c>
      <c r="B65" s="114" t="s">
        <v>48</v>
      </c>
      <c r="C65" s="17"/>
      <c r="D65" s="17"/>
      <c r="E65" s="17"/>
      <c r="F65" s="15">
        <f t="shared" si="1"/>
        <v>0</v>
      </c>
    </row>
    <row r="66" spans="1:6" ht="32.4" x14ac:dyDescent="0.4">
      <c r="A66" s="6"/>
      <c r="B66" s="113" t="s">
        <v>49</v>
      </c>
      <c r="C66" s="17" t="s">
        <v>2</v>
      </c>
      <c r="D66" s="17">
        <f>13*10.5</f>
        <v>136.5</v>
      </c>
      <c r="E66" s="17"/>
      <c r="F66" s="15">
        <f t="shared" si="1"/>
        <v>0</v>
      </c>
    </row>
    <row r="67" spans="1:6" ht="48.6" x14ac:dyDescent="0.4">
      <c r="A67" s="6"/>
      <c r="B67" s="113" t="s">
        <v>52</v>
      </c>
      <c r="C67" s="17" t="s">
        <v>2</v>
      </c>
      <c r="D67" s="17">
        <f>D66</f>
        <v>136.5</v>
      </c>
      <c r="E67" s="17"/>
      <c r="F67" s="15">
        <f t="shared" si="1"/>
        <v>0</v>
      </c>
    </row>
    <row r="68" spans="1:6" ht="48.6" x14ac:dyDescent="0.4">
      <c r="A68" s="6"/>
      <c r="B68" s="113" t="s">
        <v>117</v>
      </c>
      <c r="C68" s="17" t="s">
        <v>214</v>
      </c>
      <c r="D68" s="17">
        <v>47</v>
      </c>
      <c r="E68" s="17"/>
      <c r="F68" s="133">
        <f t="shared" si="1"/>
        <v>0</v>
      </c>
    </row>
    <row r="69" spans="1:6" ht="16.2" customHeight="1" x14ac:dyDescent="0.45">
      <c r="A69" s="6"/>
      <c r="B69" s="114" t="s">
        <v>82</v>
      </c>
      <c r="C69" s="17"/>
      <c r="D69" s="17"/>
      <c r="E69" s="17"/>
      <c r="F69" s="22">
        <f>SUM(F51:F68)</f>
        <v>0</v>
      </c>
    </row>
    <row r="70" spans="1:6" ht="16.8" x14ac:dyDescent="0.45">
      <c r="A70" s="105">
        <v>4</v>
      </c>
      <c r="B70" s="114" t="s">
        <v>84</v>
      </c>
      <c r="C70" s="17"/>
      <c r="D70" s="17"/>
      <c r="E70" s="17"/>
      <c r="F70" s="15"/>
    </row>
    <row r="71" spans="1:6" ht="16.2" x14ac:dyDescent="0.35">
      <c r="A71" s="6">
        <v>4.0999999999999996</v>
      </c>
      <c r="B71" s="115" t="s">
        <v>85</v>
      </c>
      <c r="C71" s="17"/>
      <c r="D71" s="17"/>
      <c r="E71" s="17"/>
      <c r="F71" s="15"/>
    </row>
    <row r="72" spans="1:6" ht="109.2" x14ac:dyDescent="0.35">
      <c r="A72" s="6"/>
      <c r="B72" s="109" t="s">
        <v>218</v>
      </c>
      <c r="C72" s="17" t="s">
        <v>2</v>
      </c>
      <c r="D72" s="17">
        <f>10.5*13*1.2</f>
        <v>163.79999999999998</v>
      </c>
      <c r="E72" s="17"/>
      <c r="F72" s="15">
        <f>E72*D72</f>
        <v>0</v>
      </c>
    </row>
    <row r="73" spans="1:6" ht="16.2" x14ac:dyDescent="0.35">
      <c r="A73" s="6">
        <v>4.2</v>
      </c>
      <c r="B73" s="115" t="s">
        <v>59</v>
      </c>
      <c r="C73" s="17"/>
      <c r="D73" s="17"/>
      <c r="E73" s="17"/>
      <c r="F73" s="15">
        <f t="shared" ref="F73:F76" si="2">E73*D73</f>
        <v>0</v>
      </c>
    </row>
    <row r="74" spans="1:6" ht="48.6" x14ac:dyDescent="0.35">
      <c r="A74" s="6"/>
      <c r="B74" s="116" t="s">
        <v>224</v>
      </c>
      <c r="C74" s="17" t="s">
        <v>2</v>
      </c>
      <c r="D74" s="17">
        <f>13*10.5</f>
        <v>136.5</v>
      </c>
      <c r="E74" s="17"/>
      <c r="F74" s="15">
        <f t="shared" si="2"/>
        <v>0</v>
      </c>
    </row>
    <row r="75" spans="1:6" ht="16.2" x14ac:dyDescent="0.35">
      <c r="A75" s="6"/>
      <c r="B75" s="115" t="s">
        <v>60</v>
      </c>
      <c r="C75" s="17"/>
      <c r="D75" s="17"/>
      <c r="E75" s="17"/>
      <c r="F75" s="15">
        <f t="shared" si="2"/>
        <v>0</v>
      </c>
    </row>
    <row r="76" spans="1:6" x14ac:dyDescent="0.35">
      <c r="A76" s="6"/>
      <c r="B76" s="109" t="s">
        <v>61</v>
      </c>
      <c r="C76" s="17" t="s">
        <v>87</v>
      </c>
      <c r="D76" s="17">
        <v>47</v>
      </c>
      <c r="E76" s="17"/>
      <c r="F76" s="15">
        <f t="shared" si="2"/>
        <v>0</v>
      </c>
    </row>
    <row r="77" spans="1:6" ht="16.2" x14ac:dyDescent="0.4">
      <c r="A77" s="6"/>
      <c r="B77" s="108" t="s">
        <v>86</v>
      </c>
      <c r="C77" s="17"/>
      <c r="D77" s="17"/>
      <c r="E77" s="17"/>
      <c r="F77" s="22">
        <f>SUM(F72:F76)</f>
        <v>0</v>
      </c>
    </row>
    <row r="78" spans="1:6" ht="16.2" x14ac:dyDescent="0.35">
      <c r="A78" s="105">
        <v>5</v>
      </c>
      <c r="B78" s="108" t="s">
        <v>89</v>
      </c>
      <c r="C78" s="17"/>
      <c r="D78" s="17"/>
      <c r="E78" s="17"/>
      <c r="F78" s="15"/>
    </row>
    <row r="79" spans="1:6" x14ac:dyDescent="0.35">
      <c r="A79" s="6">
        <v>5.0999999999999996</v>
      </c>
      <c r="B79" s="6" t="s">
        <v>188</v>
      </c>
      <c r="C79" s="17"/>
      <c r="D79" s="17"/>
      <c r="E79" s="17"/>
      <c r="F79" s="15"/>
    </row>
    <row r="80" spans="1:6" ht="46.8" x14ac:dyDescent="0.35">
      <c r="A80" s="6"/>
      <c r="B80" s="109" t="s">
        <v>189</v>
      </c>
      <c r="C80" s="17"/>
      <c r="D80" s="17"/>
      <c r="E80" s="17"/>
      <c r="F80" s="15"/>
    </row>
    <row r="81" spans="1:6" x14ac:dyDescent="0.35">
      <c r="A81" s="6"/>
      <c r="B81" s="117" t="s">
        <v>73</v>
      </c>
      <c r="C81" s="17" t="s">
        <v>62</v>
      </c>
      <c r="D81" s="17">
        <v>3</v>
      </c>
      <c r="E81" s="17"/>
      <c r="F81" s="15">
        <f>E81*D81</f>
        <v>0</v>
      </c>
    </row>
    <row r="82" spans="1:6" ht="16.2" x14ac:dyDescent="0.35">
      <c r="A82" s="6">
        <v>5.2</v>
      </c>
      <c r="B82" s="108" t="s">
        <v>53</v>
      </c>
      <c r="C82" s="17"/>
      <c r="D82" s="17"/>
      <c r="E82" s="17"/>
      <c r="F82" s="15"/>
    </row>
    <row r="83" spans="1:6" ht="78" x14ac:dyDescent="0.35">
      <c r="A83" s="6"/>
      <c r="B83" s="109" t="s">
        <v>54</v>
      </c>
      <c r="C83" s="17"/>
      <c r="D83" s="17"/>
      <c r="E83" s="17"/>
      <c r="F83" s="15"/>
    </row>
    <row r="84" spans="1:6" x14ac:dyDescent="0.35">
      <c r="A84" s="6"/>
      <c r="B84" s="109" t="s">
        <v>75</v>
      </c>
      <c r="C84" s="17" t="s">
        <v>62</v>
      </c>
      <c r="D84" s="17">
        <v>1</v>
      </c>
      <c r="E84" s="17"/>
      <c r="F84" s="15">
        <f t="shared" ref="F84:F88" si="3">E84*D84</f>
        <v>0</v>
      </c>
    </row>
    <row r="85" spans="1:6" ht="16.2" x14ac:dyDescent="0.35">
      <c r="A85" s="6">
        <v>5.3</v>
      </c>
      <c r="B85" s="108" t="s">
        <v>55</v>
      </c>
      <c r="C85" s="17"/>
      <c r="D85" s="17"/>
      <c r="E85" s="17"/>
      <c r="F85" s="15"/>
    </row>
    <row r="86" spans="1:6" ht="93.6" x14ac:dyDescent="0.35">
      <c r="A86" s="6"/>
      <c r="B86" s="109" t="s">
        <v>56</v>
      </c>
      <c r="C86" s="17"/>
      <c r="D86" s="17"/>
      <c r="E86" s="17"/>
      <c r="F86" s="15"/>
    </row>
    <row r="87" spans="1:6" x14ac:dyDescent="0.35">
      <c r="A87" s="6"/>
      <c r="B87" s="109" t="s">
        <v>76</v>
      </c>
      <c r="C87" s="17" t="s">
        <v>22</v>
      </c>
      <c r="D87" s="17">
        <f>6*2*1.2</f>
        <v>14.399999999999999</v>
      </c>
      <c r="E87" s="17"/>
      <c r="F87" s="15">
        <f t="shared" si="3"/>
        <v>0</v>
      </c>
    </row>
    <row r="88" spans="1:6" x14ac:dyDescent="0.35">
      <c r="A88" s="6"/>
      <c r="B88" s="109" t="s">
        <v>57</v>
      </c>
      <c r="C88" s="17" t="s">
        <v>22</v>
      </c>
      <c r="D88" s="17">
        <f>0.6*0.6</f>
        <v>0.36</v>
      </c>
      <c r="E88" s="17"/>
      <c r="F88" s="15">
        <f t="shared" si="3"/>
        <v>0</v>
      </c>
    </row>
    <row r="89" spans="1:6" ht="16.2" x14ac:dyDescent="0.4">
      <c r="A89" s="6"/>
      <c r="B89" s="23" t="s">
        <v>90</v>
      </c>
      <c r="C89" s="17"/>
      <c r="D89" s="17"/>
      <c r="E89" s="17"/>
      <c r="F89" s="22">
        <f>SUM(F81:F88)</f>
        <v>0</v>
      </c>
    </row>
    <row r="90" spans="1:6" ht="16.2" x14ac:dyDescent="0.4">
      <c r="A90" s="118">
        <v>6</v>
      </c>
      <c r="B90" s="23" t="s">
        <v>101</v>
      </c>
      <c r="C90" s="17"/>
      <c r="D90" s="17"/>
      <c r="E90" s="17"/>
      <c r="F90" s="15"/>
    </row>
    <row r="91" spans="1:6" ht="78" x14ac:dyDescent="0.35">
      <c r="A91" s="119">
        <v>6.1</v>
      </c>
      <c r="B91" s="109" t="s">
        <v>92</v>
      </c>
      <c r="C91" s="17" t="s">
        <v>70</v>
      </c>
      <c r="D91" s="17">
        <v>10</v>
      </c>
      <c r="E91" s="17"/>
      <c r="F91" s="15">
        <f>E91*D91</f>
        <v>0</v>
      </c>
    </row>
    <row r="92" spans="1:6" ht="61.95" customHeight="1" x14ac:dyDescent="0.35">
      <c r="A92" s="119">
        <v>6.2</v>
      </c>
      <c r="B92" s="109" t="s">
        <v>115</v>
      </c>
      <c r="C92" s="17" t="s">
        <v>62</v>
      </c>
      <c r="D92" s="17">
        <v>10</v>
      </c>
      <c r="E92" s="17"/>
      <c r="F92" s="15">
        <f t="shared" ref="F92:F97" si="4">E92*D92</f>
        <v>0</v>
      </c>
    </row>
    <row r="93" spans="1:6" ht="46.8" x14ac:dyDescent="0.35">
      <c r="A93" s="119">
        <v>6.3</v>
      </c>
      <c r="B93" s="109" t="s">
        <v>93</v>
      </c>
      <c r="C93" s="17" t="s">
        <v>62</v>
      </c>
      <c r="D93" s="17">
        <v>13</v>
      </c>
      <c r="E93" s="17"/>
      <c r="F93" s="15">
        <f t="shared" si="4"/>
        <v>0</v>
      </c>
    </row>
    <row r="94" spans="1:6" ht="93.6" x14ac:dyDescent="0.35">
      <c r="A94" s="119">
        <v>6.4</v>
      </c>
      <c r="B94" s="109" t="s">
        <v>94</v>
      </c>
      <c r="C94" s="17" t="s">
        <v>62</v>
      </c>
      <c r="D94" s="17">
        <v>6</v>
      </c>
      <c r="E94" s="17"/>
      <c r="F94" s="15">
        <f t="shared" si="4"/>
        <v>0</v>
      </c>
    </row>
    <row r="95" spans="1:6" ht="62.4" x14ac:dyDescent="0.35">
      <c r="A95" s="119">
        <v>6.5</v>
      </c>
      <c r="B95" s="109" t="s">
        <v>216</v>
      </c>
      <c r="C95" s="17" t="s">
        <v>62</v>
      </c>
      <c r="D95" s="17">
        <v>1</v>
      </c>
      <c r="E95" s="17"/>
      <c r="F95" s="15">
        <f t="shared" si="4"/>
        <v>0</v>
      </c>
    </row>
    <row r="96" spans="1:6" ht="62.4" x14ac:dyDescent="0.35">
      <c r="A96" s="119">
        <v>6.8</v>
      </c>
      <c r="B96" s="109" t="s">
        <v>95</v>
      </c>
      <c r="C96" s="17" t="s">
        <v>70</v>
      </c>
      <c r="D96" s="17">
        <v>1</v>
      </c>
      <c r="E96" s="17"/>
      <c r="F96" s="15">
        <f t="shared" si="4"/>
        <v>0</v>
      </c>
    </row>
    <row r="97" spans="1:6" x14ac:dyDescent="0.35">
      <c r="A97" s="119">
        <v>6.9</v>
      </c>
      <c r="B97" s="109" t="s">
        <v>103</v>
      </c>
      <c r="C97" s="17" t="s">
        <v>70</v>
      </c>
      <c r="D97" s="17">
        <v>1</v>
      </c>
      <c r="E97" s="17"/>
      <c r="F97" s="15">
        <f t="shared" si="4"/>
        <v>0</v>
      </c>
    </row>
    <row r="98" spans="1:6" ht="16.2" x14ac:dyDescent="0.4">
      <c r="A98" s="6"/>
      <c r="B98" s="23" t="s">
        <v>104</v>
      </c>
      <c r="C98" s="17"/>
      <c r="D98" s="17"/>
      <c r="E98" s="17"/>
      <c r="F98" s="22">
        <f>SUM(F91:F97)</f>
        <v>0</v>
      </c>
    </row>
    <row r="99" spans="1:6" x14ac:dyDescent="0.35">
      <c r="A99" s="120">
        <v>7</v>
      </c>
      <c r="B99" s="109" t="s">
        <v>102</v>
      </c>
      <c r="C99" s="17"/>
      <c r="D99" s="17"/>
      <c r="E99" s="17"/>
      <c r="F99" s="15"/>
    </row>
    <row r="100" spans="1:6" ht="109.2" x14ac:dyDescent="0.35">
      <c r="A100" s="109">
        <v>7.1</v>
      </c>
      <c r="B100" s="109" t="s">
        <v>96</v>
      </c>
      <c r="C100" s="17" t="s">
        <v>105</v>
      </c>
      <c r="D100" s="17">
        <v>1</v>
      </c>
      <c r="E100" s="17"/>
      <c r="F100" s="15">
        <f>E100*D100</f>
        <v>0</v>
      </c>
    </row>
    <row r="101" spans="1:6" ht="78" x14ac:dyDescent="0.35">
      <c r="A101" s="109">
        <v>7.2</v>
      </c>
      <c r="B101" s="109" t="s">
        <v>97</v>
      </c>
      <c r="C101" s="17" t="s">
        <v>106</v>
      </c>
      <c r="D101" s="17">
        <v>1</v>
      </c>
      <c r="E101" s="17"/>
      <c r="F101" s="15">
        <f t="shared" ref="F101:F103" si="5">E101*D101</f>
        <v>0</v>
      </c>
    </row>
    <row r="102" spans="1:6" ht="124.8" x14ac:dyDescent="0.35">
      <c r="A102" s="109">
        <v>7.3</v>
      </c>
      <c r="B102" s="109" t="s">
        <v>107</v>
      </c>
      <c r="C102" s="17" t="s">
        <v>70</v>
      </c>
      <c r="D102" s="17">
        <v>1</v>
      </c>
      <c r="E102" s="17"/>
      <c r="F102" s="15">
        <f t="shared" si="5"/>
        <v>0</v>
      </c>
    </row>
    <row r="103" spans="1:6" ht="140.4" x14ac:dyDescent="0.35">
      <c r="A103" s="109">
        <v>7.9</v>
      </c>
      <c r="B103" s="109" t="s">
        <v>98</v>
      </c>
      <c r="C103" s="17" t="s">
        <v>70</v>
      </c>
      <c r="D103" s="17">
        <v>1</v>
      </c>
      <c r="E103" s="17"/>
      <c r="F103" s="15">
        <f t="shared" si="5"/>
        <v>0</v>
      </c>
    </row>
    <row r="104" spans="1:6" ht="16.2" x14ac:dyDescent="0.4">
      <c r="A104" s="109"/>
      <c r="B104" s="108" t="s">
        <v>108</v>
      </c>
      <c r="C104" s="17"/>
      <c r="D104" s="17"/>
      <c r="E104" s="17"/>
      <c r="F104" s="22">
        <f>SUM(F100:F103)</f>
        <v>0</v>
      </c>
    </row>
    <row r="105" spans="1:6" ht="16.2" x14ac:dyDescent="0.4">
      <c r="A105" s="105">
        <v>8</v>
      </c>
      <c r="B105" s="23" t="s">
        <v>100</v>
      </c>
      <c r="C105" s="17"/>
      <c r="D105" s="17"/>
      <c r="E105" s="17"/>
      <c r="F105" s="15"/>
    </row>
    <row r="106" spans="1:6" ht="31.2" x14ac:dyDescent="0.35">
      <c r="A106" s="6">
        <v>8.1</v>
      </c>
      <c r="B106" s="109" t="s">
        <v>111</v>
      </c>
      <c r="C106" s="17" t="s">
        <v>7</v>
      </c>
      <c r="D106" s="17">
        <f>4*3*3</f>
        <v>36</v>
      </c>
      <c r="E106" s="17"/>
      <c r="F106" s="15">
        <f>E106*D106</f>
        <v>0</v>
      </c>
    </row>
    <row r="107" spans="1:6" ht="31.2" x14ac:dyDescent="0.35">
      <c r="A107" s="6">
        <v>8.1999999999999993</v>
      </c>
      <c r="B107" s="109" t="s">
        <v>99</v>
      </c>
      <c r="C107" s="17" t="s">
        <v>7</v>
      </c>
      <c r="D107" s="17">
        <f>4*3*0.05</f>
        <v>0.60000000000000009</v>
      </c>
      <c r="E107" s="17"/>
      <c r="F107" s="15">
        <f t="shared" ref="F107:F110" si="6">E107*D107</f>
        <v>0</v>
      </c>
    </row>
    <row r="108" spans="1:6" ht="46.8" x14ac:dyDescent="0.35">
      <c r="A108" s="6">
        <v>8.3000000000000007</v>
      </c>
      <c r="B108" s="109" t="s">
        <v>234</v>
      </c>
      <c r="C108" s="17" t="s">
        <v>7</v>
      </c>
      <c r="D108" s="17">
        <f>14*2.8*0.4</f>
        <v>15.68</v>
      </c>
      <c r="E108" s="17"/>
      <c r="F108" s="15">
        <f t="shared" si="6"/>
        <v>0</v>
      </c>
    </row>
    <row r="109" spans="1:6" ht="31.2" x14ac:dyDescent="0.35">
      <c r="A109" s="6">
        <v>8.4</v>
      </c>
      <c r="B109" s="109" t="s">
        <v>112</v>
      </c>
      <c r="C109" s="17" t="s">
        <v>7</v>
      </c>
      <c r="D109" s="17">
        <f>14*0.2*0.2</f>
        <v>0.56000000000000005</v>
      </c>
      <c r="E109" s="17"/>
      <c r="F109" s="15">
        <f t="shared" si="6"/>
        <v>0</v>
      </c>
    </row>
    <row r="110" spans="1:6" ht="46.8" x14ac:dyDescent="0.35">
      <c r="A110" s="6">
        <v>8.5</v>
      </c>
      <c r="B110" s="109" t="s">
        <v>110</v>
      </c>
      <c r="C110" s="17" t="s">
        <v>7</v>
      </c>
      <c r="D110" s="17">
        <f>4*3*0.2</f>
        <v>2.4000000000000004</v>
      </c>
      <c r="E110" s="17"/>
      <c r="F110" s="15">
        <f t="shared" si="6"/>
        <v>0</v>
      </c>
    </row>
    <row r="111" spans="1:6" ht="16.2" x14ac:dyDescent="0.4">
      <c r="A111" s="6"/>
      <c r="B111" s="23" t="s">
        <v>113</v>
      </c>
      <c r="C111" s="17"/>
      <c r="D111" s="17"/>
      <c r="E111" s="17"/>
      <c r="F111" s="22">
        <f>SUM(F106:F110)</f>
        <v>0</v>
      </c>
    </row>
    <row r="112" spans="1:6" ht="16.2" x14ac:dyDescent="0.4">
      <c r="A112" s="6"/>
      <c r="B112" s="23" t="s">
        <v>127</v>
      </c>
      <c r="C112" s="17"/>
      <c r="D112" s="17"/>
      <c r="E112" s="17"/>
      <c r="F112" s="22">
        <f>F111+F104+F98+F89+F77+F69+F47+F10</f>
        <v>0</v>
      </c>
    </row>
    <row r="117" spans="2:2" x14ac:dyDescent="0.35">
      <c r="B117" s="4" t="s">
        <v>109</v>
      </c>
    </row>
  </sheetData>
  <mergeCells count="4">
    <mergeCell ref="A1:F1"/>
    <mergeCell ref="A2:F2"/>
    <mergeCell ref="A3:F3"/>
    <mergeCell ref="A4:F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19"/>
  <sheetViews>
    <sheetView workbookViewId="0">
      <pane xSplit="5" ySplit="5" topLeftCell="F6" activePane="bottomRight" state="frozen"/>
      <selection pane="topRight" activeCell="F1" sqref="F1"/>
      <selection pane="bottomLeft" activeCell="A6" sqref="A6"/>
      <selection pane="bottomRight" activeCell="L21" sqref="L21"/>
    </sheetView>
  </sheetViews>
  <sheetFormatPr defaultColWidth="8.88671875" defaultRowHeight="15.6" x14ac:dyDescent="0.35"/>
  <cols>
    <col min="1" max="1" width="5.6640625" style="4" customWidth="1"/>
    <col min="2" max="2" width="62.88671875" style="4" customWidth="1"/>
    <col min="3" max="3" width="8.88671875" style="18"/>
    <col min="4" max="4" width="8.88671875" style="28"/>
    <col min="5" max="5" width="11.109375" style="18" customWidth="1"/>
    <col min="6" max="6" width="22.21875" style="16" customWidth="1"/>
    <col min="7" max="16384" width="8.88671875" style="4"/>
  </cols>
  <sheetData>
    <row r="1" spans="1:6" x14ac:dyDescent="0.35">
      <c r="A1" s="154" t="s">
        <v>68</v>
      </c>
      <c r="B1" s="154"/>
      <c r="C1" s="154"/>
      <c r="D1" s="154"/>
      <c r="E1" s="154"/>
      <c r="F1" s="154"/>
    </row>
    <row r="2" spans="1:6" x14ac:dyDescent="0.35">
      <c r="A2" s="154" t="s">
        <v>193</v>
      </c>
      <c r="B2" s="154"/>
      <c r="C2" s="154"/>
      <c r="D2" s="154"/>
      <c r="E2" s="154"/>
      <c r="F2" s="154"/>
    </row>
    <row r="3" spans="1:6" x14ac:dyDescent="0.35">
      <c r="A3" s="154" t="s">
        <v>69</v>
      </c>
      <c r="B3" s="154"/>
      <c r="C3" s="154"/>
      <c r="D3" s="154"/>
      <c r="E3" s="154"/>
      <c r="F3" s="154"/>
    </row>
    <row r="4" spans="1:6" x14ac:dyDescent="0.35">
      <c r="A4" s="154" t="s">
        <v>77</v>
      </c>
      <c r="B4" s="154"/>
      <c r="C4" s="154"/>
      <c r="D4" s="154"/>
      <c r="E4" s="154"/>
      <c r="F4" s="154"/>
    </row>
    <row r="5" spans="1:6" s="27" customFormat="1" ht="16.2" x14ac:dyDescent="0.35">
      <c r="A5" s="25" t="s">
        <v>10</v>
      </c>
      <c r="B5" s="26" t="s">
        <v>63</v>
      </c>
      <c r="C5" s="25" t="s">
        <v>64</v>
      </c>
      <c r="D5" s="121" t="s">
        <v>65</v>
      </c>
      <c r="E5" s="104" t="s">
        <v>66</v>
      </c>
      <c r="F5" s="122" t="s">
        <v>67</v>
      </c>
    </row>
    <row r="6" spans="1:6" ht="16.2" x14ac:dyDescent="0.35">
      <c r="A6" s="105">
        <v>1</v>
      </c>
      <c r="B6" s="7" t="s">
        <v>0</v>
      </c>
      <c r="C6" s="8"/>
      <c r="D6" s="123"/>
      <c r="E6" s="17"/>
      <c r="F6" s="15"/>
    </row>
    <row r="7" spans="1:6" ht="16.2" x14ac:dyDescent="0.35">
      <c r="A7" s="6"/>
      <c r="B7" s="7" t="s">
        <v>1</v>
      </c>
      <c r="C7" s="8"/>
      <c r="D7" s="123"/>
      <c r="E7" s="17"/>
      <c r="F7" s="15"/>
    </row>
    <row r="8" spans="1:6" ht="49.2" x14ac:dyDescent="0.35">
      <c r="A8" s="6">
        <v>1.1000000000000001</v>
      </c>
      <c r="B8" s="59" t="s">
        <v>236</v>
      </c>
      <c r="C8" s="9" t="s">
        <v>70</v>
      </c>
      <c r="D8" s="123">
        <v>1</v>
      </c>
      <c r="E8" s="17"/>
      <c r="F8" s="15">
        <f>E8*D8</f>
        <v>0</v>
      </c>
    </row>
    <row r="9" spans="1:6" ht="46.8" x14ac:dyDescent="0.35">
      <c r="A9" s="6">
        <v>1.2</v>
      </c>
      <c r="B9" s="10" t="s">
        <v>209</v>
      </c>
      <c r="C9" s="9" t="s">
        <v>71</v>
      </c>
      <c r="D9" s="123">
        <v>200</v>
      </c>
      <c r="E9" s="17"/>
      <c r="F9" s="15">
        <f>E9*D9</f>
        <v>0</v>
      </c>
    </row>
    <row r="10" spans="1:6" ht="16.2" x14ac:dyDescent="0.4">
      <c r="A10" s="6"/>
      <c r="B10" s="19" t="s">
        <v>78</v>
      </c>
      <c r="C10" s="9"/>
      <c r="D10" s="123"/>
      <c r="E10" s="17"/>
      <c r="F10" s="22">
        <f>SUM(F8:F9)</f>
        <v>0</v>
      </c>
    </row>
    <row r="11" spans="1:6" ht="16.2" x14ac:dyDescent="0.35">
      <c r="A11" s="105">
        <v>2</v>
      </c>
      <c r="B11" s="7" t="s">
        <v>3</v>
      </c>
      <c r="C11" s="8"/>
      <c r="D11" s="123"/>
      <c r="E11" s="17"/>
      <c r="F11" s="15"/>
    </row>
    <row r="12" spans="1:6" ht="16.2" x14ac:dyDescent="0.35">
      <c r="A12" s="6">
        <v>2.1</v>
      </c>
      <c r="B12" s="7" t="s">
        <v>4</v>
      </c>
      <c r="C12" s="8"/>
      <c r="D12" s="123"/>
      <c r="E12" s="17"/>
      <c r="F12" s="15"/>
    </row>
    <row r="13" spans="1:6" x14ac:dyDescent="0.35">
      <c r="A13" s="6"/>
      <c r="B13" s="11" t="s">
        <v>5</v>
      </c>
      <c r="C13" s="8"/>
      <c r="D13" s="123"/>
      <c r="E13" s="17"/>
      <c r="F13" s="15"/>
    </row>
    <row r="14" spans="1:6" ht="31.2" x14ac:dyDescent="0.35">
      <c r="A14" s="6"/>
      <c r="B14" s="10" t="s">
        <v>6</v>
      </c>
      <c r="C14" s="8" t="s">
        <v>7</v>
      </c>
      <c r="D14" s="123">
        <f>((12*2)+(10*2)+(3.6*4)+(9))*0.8*0.5</f>
        <v>26.960000000000004</v>
      </c>
      <c r="E14" s="17"/>
      <c r="F14" s="15">
        <f>E14*D14</f>
        <v>0</v>
      </c>
    </row>
    <row r="15" spans="1:6" x14ac:dyDescent="0.35">
      <c r="A15" s="6"/>
      <c r="B15" s="10" t="s">
        <v>8</v>
      </c>
      <c r="C15" s="8" t="s">
        <v>7</v>
      </c>
      <c r="D15" s="123">
        <f>1*1*1*10</f>
        <v>10</v>
      </c>
      <c r="E15" s="17"/>
      <c r="F15" s="15">
        <f t="shared" ref="F15:F45" si="0">E15*D15</f>
        <v>0</v>
      </c>
    </row>
    <row r="16" spans="1:6" ht="31.2" x14ac:dyDescent="0.35">
      <c r="A16" s="6"/>
      <c r="B16" s="12" t="s">
        <v>9</v>
      </c>
      <c r="C16" s="8" t="s">
        <v>10</v>
      </c>
      <c r="D16" s="123">
        <f>(1)</f>
        <v>1</v>
      </c>
      <c r="E16" s="17"/>
      <c r="F16" s="15">
        <f t="shared" si="0"/>
        <v>0</v>
      </c>
    </row>
    <row r="17" spans="1:9" x14ac:dyDescent="0.35">
      <c r="A17" s="6"/>
      <c r="B17" s="13" t="s">
        <v>11</v>
      </c>
      <c r="C17" s="8" t="s">
        <v>10</v>
      </c>
      <c r="D17" s="123">
        <f>(1)</f>
        <v>1</v>
      </c>
      <c r="E17" s="17"/>
      <c r="F17" s="15">
        <f t="shared" si="0"/>
        <v>0</v>
      </c>
    </row>
    <row r="18" spans="1:9" ht="16.2" x14ac:dyDescent="0.35">
      <c r="A18" s="6">
        <v>2.2000000000000002</v>
      </c>
      <c r="B18" s="7" t="s">
        <v>12</v>
      </c>
      <c r="C18" s="8"/>
      <c r="D18" s="123"/>
      <c r="E18" s="17"/>
      <c r="F18" s="15"/>
    </row>
    <row r="19" spans="1:9" x14ac:dyDescent="0.35">
      <c r="A19" s="6"/>
      <c r="B19" s="10" t="s">
        <v>13</v>
      </c>
      <c r="C19" s="8" t="s">
        <v>7</v>
      </c>
      <c r="D19" s="123">
        <f>((D14+D15)*0.3)</f>
        <v>11.088000000000003</v>
      </c>
      <c r="E19" s="17"/>
      <c r="F19" s="15">
        <f t="shared" si="0"/>
        <v>0</v>
      </c>
    </row>
    <row r="20" spans="1:9" ht="16.2" x14ac:dyDescent="0.35">
      <c r="A20" s="6">
        <v>2.2999999999999998</v>
      </c>
      <c r="B20" s="20" t="s">
        <v>14</v>
      </c>
      <c r="C20" s="8"/>
      <c r="D20" s="123"/>
      <c r="E20" s="17"/>
      <c r="F20" s="15">
        <f t="shared" si="0"/>
        <v>0</v>
      </c>
    </row>
    <row r="21" spans="1:9" x14ac:dyDescent="0.35">
      <c r="A21" s="6"/>
      <c r="B21" s="10" t="s">
        <v>15</v>
      </c>
      <c r="C21" s="8" t="s">
        <v>7</v>
      </c>
      <c r="D21" s="123">
        <f>D14+D15-D19</f>
        <v>25.872000000000007</v>
      </c>
      <c r="E21" s="17"/>
      <c r="F21" s="15">
        <f t="shared" si="0"/>
        <v>0</v>
      </c>
    </row>
    <row r="22" spans="1:9" ht="16.2" x14ac:dyDescent="0.35">
      <c r="A22" s="6">
        <v>2.4</v>
      </c>
      <c r="B22" s="20" t="s">
        <v>16</v>
      </c>
      <c r="C22" s="8"/>
      <c r="D22" s="123"/>
      <c r="E22" s="17"/>
      <c r="F22" s="15">
        <f t="shared" si="0"/>
        <v>0</v>
      </c>
    </row>
    <row r="23" spans="1:9" x14ac:dyDescent="0.35">
      <c r="A23" s="6"/>
      <c r="B23" s="10" t="s">
        <v>223</v>
      </c>
      <c r="C23" s="8" t="s">
        <v>2</v>
      </c>
      <c r="D23" s="123">
        <f>10*12*0.35</f>
        <v>42</v>
      </c>
      <c r="E23" s="17"/>
      <c r="F23" s="15">
        <f t="shared" si="0"/>
        <v>0</v>
      </c>
    </row>
    <row r="24" spans="1:9" x14ac:dyDescent="0.35">
      <c r="A24" s="6"/>
      <c r="B24" s="10" t="s">
        <v>17</v>
      </c>
      <c r="C24" s="8" t="s">
        <v>2</v>
      </c>
      <c r="D24" s="123">
        <f>12*10*0.05</f>
        <v>6</v>
      </c>
      <c r="E24" s="17"/>
      <c r="F24" s="15">
        <f t="shared" si="0"/>
        <v>0</v>
      </c>
      <c r="I24" s="4" t="s">
        <v>109</v>
      </c>
    </row>
    <row r="25" spans="1:9" ht="16.2" x14ac:dyDescent="0.35">
      <c r="A25" s="6">
        <v>2.5</v>
      </c>
      <c r="B25" s="7" t="s">
        <v>23</v>
      </c>
      <c r="C25" s="8"/>
      <c r="D25" s="123"/>
      <c r="E25" s="17"/>
      <c r="F25" s="15">
        <f t="shared" si="0"/>
        <v>0</v>
      </c>
    </row>
    <row r="26" spans="1:9" ht="31.2" x14ac:dyDescent="0.35">
      <c r="A26" s="6"/>
      <c r="B26" s="10" t="s">
        <v>24</v>
      </c>
      <c r="C26" s="8"/>
      <c r="D26" s="123"/>
      <c r="E26" s="17"/>
      <c r="F26" s="15">
        <f t="shared" si="0"/>
        <v>0</v>
      </c>
    </row>
    <row r="27" spans="1:9" x14ac:dyDescent="0.35">
      <c r="A27" s="6"/>
      <c r="B27" s="13" t="s">
        <v>25</v>
      </c>
      <c r="C27" s="8" t="s">
        <v>7</v>
      </c>
      <c r="D27" s="123">
        <f>80.4*0.05*0.5</f>
        <v>2.0100000000000002</v>
      </c>
      <c r="E27" s="17"/>
      <c r="F27" s="15">
        <f t="shared" si="0"/>
        <v>0</v>
      </c>
    </row>
    <row r="28" spans="1:9" x14ac:dyDescent="0.35">
      <c r="A28" s="6"/>
      <c r="B28" s="13" t="s">
        <v>26</v>
      </c>
      <c r="C28" s="8" t="s">
        <v>7</v>
      </c>
      <c r="D28" s="123">
        <f>1*1*0.05*10</f>
        <v>0.5</v>
      </c>
      <c r="E28" s="17"/>
      <c r="F28" s="15">
        <f t="shared" si="0"/>
        <v>0</v>
      </c>
    </row>
    <row r="29" spans="1:9" ht="34.799999999999997" x14ac:dyDescent="0.35">
      <c r="A29" s="6"/>
      <c r="B29" s="14" t="s">
        <v>18</v>
      </c>
      <c r="C29" s="17"/>
      <c r="D29" s="128"/>
      <c r="E29" s="17"/>
      <c r="F29" s="15">
        <f t="shared" si="0"/>
        <v>0</v>
      </c>
    </row>
    <row r="30" spans="1:9" x14ac:dyDescent="0.35">
      <c r="A30" s="10"/>
      <c r="B30" s="10" t="s">
        <v>19</v>
      </c>
      <c r="C30" s="8" t="s">
        <v>7</v>
      </c>
      <c r="D30" s="128">
        <f>1*1*0.35*10</f>
        <v>3.5</v>
      </c>
      <c r="E30" s="17"/>
      <c r="F30" s="15">
        <f t="shared" si="0"/>
        <v>0</v>
      </c>
    </row>
    <row r="31" spans="1:9" x14ac:dyDescent="0.35">
      <c r="A31" s="10"/>
      <c r="B31" s="10" t="s">
        <v>219</v>
      </c>
      <c r="C31" s="8" t="s">
        <v>7</v>
      </c>
      <c r="D31" s="128">
        <f>0.2*0.2*1.2*10</f>
        <v>0.48000000000000009</v>
      </c>
      <c r="E31" s="17"/>
      <c r="F31" s="15">
        <f t="shared" si="0"/>
        <v>0</v>
      </c>
    </row>
    <row r="32" spans="1:9" x14ac:dyDescent="0.35">
      <c r="A32" s="10"/>
      <c r="B32" s="10" t="s">
        <v>72</v>
      </c>
      <c r="C32" s="8" t="s">
        <v>7</v>
      </c>
      <c r="D32" s="128">
        <f>67.4*0.2*0.4</f>
        <v>5.3920000000000012</v>
      </c>
      <c r="E32" s="17"/>
      <c r="F32" s="15">
        <f t="shared" si="0"/>
        <v>0</v>
      </c>
    </row>
    <row r="33" spans="1:6" x14ac:dyDescent="0.35">
      <c r="A33" s="10"/>
      <c r="B33" s="10" t="s">
        <v>21</v>
      </c>
      <c r="C33" s="8" t="s">
        <v>7</v>
      </c>
      <c r="D33" s="128">
        <f>12*10*0.1</f>
        <v>12</v>
      </c>
      <c r="E33" s="17"/>
      <c r="F33" s="15">
        <f t="shared" si="0"/>
        <v>0</v>
      </c>
    </row>
    <row r="34" spans="1:6" x14ac:dyDescent="0.35">
      <c r="A34" s="10"/>
      <c r="B34" s="10" t="s">
        <v>221</v>
      </c>
      <c r="C34" s="8" t="s">
        <v>7</v>
      </c>
      <c r="D34" s="128">
        <f>12*2*0.1*1</f>
        <v>2.4000000000000004</v>
      </c>
      <c r="E34" s="17"/>
      <c r="F34" s="15">
        <f t="shared" si="0"/>
        <v>0</v>
      </c>
    </row>
    <row r="35" spans="1:6" ht="46.8" x14ac:dyDescent="0.35">
      <c r="A35" s="6"/>
      <c r="B35" s="10" t="s">
        <v>20</v>
      </c>
      <c r="C35" s="8" t="s">
        <v>2</v>
      </c>
      <c r="D35" s="128">
        <f>12*10</f>
        <v>120</v>
      </c>
      <c r="E35" s="17"/>
      <c r="F35" s="15">
        <f t="shared" si="0"/>
        <v>0</v>
      </c>
    </row>
    <row r="36" spans="1:6" ht="16.2" x14ac:dyDescent="0.35">
      <c r="A36" s="6">
        <v>2.6</v>
      </c>
      <c r="B36" s="106" t="s">
        <v>27</v>
      </c>
      <c r="C36" s="17"/>
      <c r="D36" s="128"/>
      <c r="E36" s="17"/>
      <c r="F36" s="15">
        <f t="shared" si="0"/>
        <v>0</v>
      </c>
    </row>
    <row r="37" spans="1:6" ht="62.4" x14ac:dyDescent="0.35">
      <c r="A37" s="6"/>
      <c r="B37" s="2" t="s">
        <v>28</v>
      </c>
      <c r="C37" s="8" t="s">
        <v>2</v>
      </c>
      <c r="D37" s="128">
        <f>D33-D32</f>
        <v>6.6079999999999988</v>
      </c>
      <c r="E37" s="17"/>
      <c r="F37" s="15">
        <f t="shared" si="0"/>
        <v>0</v>
      </c>
    </row>
    <row r="38" spans="1:6" ht="16.2" x14ac:dyDescent="0.35">
      <c r="A38" s="6">
        <v>2.7</v>
      </c>
      <c r="B38" s="106" t="s">
        <v>29</v>
      </c>
      <c r="C38" s="17"/>
      <c r="D38" s="128"/>
      <c r="E38" s="17"/>
      <c r="F38" s="15">
        <f t="shared" si="0"/>
        <v>0</v>
      </c>
    </row>
    <row r="39" spans="1:6" ht="46.8" x14ac:dyDescent="0.35">
      <c r="A39" s="6"/>
      <c r="B39" s="2" t="s">
        <v>30</v>
      </c>
      <c r="C39" s="8" t="s">
        <v>2</v>
      </c>
      <c r="D39" s="128">
        <f>D37</f>
        <v>6.6079999999999988</v>
      </c>
      <c r="E39" s="17"/>
      <c r="F39" s="15">
        <f t="shared" si="0"/>
        <v>0</v>
      </c>
    </row>
    <row r="40" spans="1:6" ht="16.2" x14ac:dyDescent="0.35">
      <c r="A40" s="6">
        <v>2.8</v>
      </c>
      <c r="B40" s="106" t="s">
        <v>31</v>
      </c>
      <c r="C40" s="17"/>
      <c r="D40" s="128"/>
      <c r="E40" s="17"/>
      <c r="F40" s="15">
        <f t="shared" si="0"/>
        <v>0</v>
      </c>
    </row>
    <row r="41" spans="1:6" ht="48.6" x14ac:dyDescent="0.35">
      <c r="A41" s="134"/>
      <c r="B41" s="135" t="s">
        <v>80</v>
      </c>
      <c r="C41" s="136"/>
      <c r="D41" s="137"/>
      <c r="E41" s="136"/>
      <c r="F41" s="138">
        <f t="shared" si="0"/>
        <v>0</v>
      </c>
    </row>
    <row r="42" spans="1:6" ht="16.2" x14ac:dyDescent="0.35">
      <c r="A42" s="6"/>
      <c r="B42" s="1" t="s">
        <v>34</v>
      </c>
      <c r="C42" s="17" t="s">
        <v>7</v>
      </c>
      <c r="D42" s="128">
        <f>67.4*0.4*1.1</f>
        <v>29.656000000000006</v>
      </c>
      <c r="E42" s="17"/>
      <c r="F42" s="15">
        <f t="shared" si="0"/>
        <v>0</v>
      </c>
    </row>
    <row r="43" spans="1:6" s="40" customFormat="1" ht="32.4" x14ac:dyDescent="0.35">
      <c r="A43" s="1"/>
      <c r="B43" s="1" t="s">
        <v>167</v>
      </c>
      <c r="C43" s="139" t="s">
        <v>126</v>
      </c>
      <c r="D43" s="140">
        <v>1</v>
      </c>
      <c r="E43" s="139"/>
      <c r="F43" s="15">
        <f t="shared" si="0"/>
        <v>0</v>
      </c>
    </row>
    <row r="44" spans="1:6" ht="16.2" x14ac:dyDescent="0.35">
      <c r="A44" s="6"/>
      <c r="B44" s="107" t="s">
        <v>32</v>
      </c>
      <c r="C44" s="17"/>
      <c r="D44" s="128"/>
      <c r="E44" s="17"/>
      <c r="F44" s="15">
        <f t="shared" si="0"/>
        <v>0</v>
      </c>
    </row>
    <row r="45" spans="1:6" ht="16.2" x14ac:dyDescent="0.35">
      <c r="A45" s="141"/>
      <c r="B45" s="142" t="s">
        <v>33</v>
      </c>
      <c r="C45" s="143" t="s">
        <v>2</v>
      </c>
      <c r="D45" s="144">
        <v>67.400000000000006</v>
      </c>
      <c r="E45" s="143"/>
      <c r="F45" s="145">
        <f t="shared" si="0"/>
        <v>0</v>
      </c>
    </row>
    <row r="46" spans="1:6" ht="16.2" x14ac:dyDescent="0.4">
      <c r="A46" s="6"/>
      <c r="B46" s="21" t="s">
        <v>83</v>
      </c>
      <c r="C46" s="17"/>
      <c r="D46" s="128"/>
      <c r="E46" s="17"/>
      <c r="F46" s="22">
        <f>SUM(F14:F45)</f>
        <v>0</v>
      </c>
    </row>
    <row r="47" spans="1:6" ht="16.2" x14ac:dyDescent="0.35">
      <c r="A47" s="105">
        <v>3</v>
      </c>
      <c r="B47" s="21" t="s">
        <v>81</v>
      </c>
      <c r="C47" s="17"/>
      <c r="D47" s="128"/>
      <c r="E47" s="17"/>
      <c r="F47" s="15"/>
    </row>
    <row r="48" spans="1:6" ht="16.2" x14ac:dyDescent="0.35">
      <c r="A48" s="6">
        <v>3.1</v>
      </c>
      <c r="B48" s="108" t="s">
        <v>37</v>
      </c>
      <c r="C48" s="17"/>
      <c r="D48" s="128"/>
      <c r="E48" s="17"/>
      <c r="F48" s="15"/>
    </row>
    <row r="49" spans="1:6" ht="34.799999999999997" x14ac:dyDescent="0.35">
      <c r="A49" s="6"/>
      <c r="B49" s="14" t="s">
        <v>18</v>
      </c>
      <c r="C49" s="17"/>
      <c r="D49" s="128"/>
      <c r="E49" s="17"/>
      <c r="F49" s="15"/>
    </row>
    <row r="50" spans="1:6" x14ac:dyDescent="0.35">
      <c r="A50" s="6"/>
      <c r="B50" s="109" t="s">
        <v>220</v>
      </c>
      <c r="C50" s="17" t="s">
        <v>7</v>
      </c>
      <c r="D50" s="128">
        <f>0.2*0.2*3.4*10</f>
        <v>1.36</v>
      </c>
      <c r="E50" s="17"/>
      <c r="F50" s="15">
        <f>E50*D50</f>
        <v>0</v>
      </c>
    </row>
    <row r="51" spans="1:6" x14ac:dyDescent="0.35">
      <c r="A51" s="6"/>
      <c r="B51" s="109" t="s">
        <v>39</v>
      </c>
      <c r="C51" s="17" t="s">
        <v>7</v>
      </c>
      <c r="D51" s="128">
        <f>67.4*0.2*0.2</f>
        <v>2.6960000000000006</v>
      </c>
      <c r="E51" s="17"/>
      <c r="F51" s="15">
        <f t="shared" ref="F51:F67" si="1">E51*D51</f>
        <v>0</v>
      </c>
    </row>
    <row r="52" spans="1:6" x14ac:dyDescent="0.35">
      <c r="A52" s="6"/>
      <c r="B52" s="109" t="s">
        <v>40</v>
      </c>
      <c r="C52" s="17" t="s">
        <v>7</v>
      </c>
      <c r="D52" s="128">
        <f>60*0.2*0.2</f>
        <v>2.4000000000000004</v>
      </c>
      <c r="E52" s="17"/>
      <c r="F52" s="15">
        <f t="shared" si="1"/>
        <v>0</v>
      </c>
    </row>
    <row r="53" spans="1:6" ht="16.2" x14ac:dyDescent="0.35">
      <c r="A53" s="6">
        <v>3.2</v>
      </c>
      <c r="B53" s="108" t="s">
        <v>35</v>
      </c>
      <c r="C53" s="17"/>
      <c r="D53" s="128"/>
      <c r="E53" s="17"/>
      <c r="F53" s="15">
        <f t="shared" si="1"/>
        <v>0</v>
      </c>
    </row>
    <row r="54" spans="1:6" ht="52.2" x14ac:dyDescent="0.35">
      <c r="A54" s="6"/>
      <c r="B54" s="110" t="s">
        <v>41</v>
      </c>
      <c r="C54" s="17"/>
      <c r="D54" s="128"/>
      <c r="E54" s="17"/>
      <c r="F54" s="15">
        <f t="shared" si="1"/>
        <v>0</v>
      </c>
    </row>
    <row r="55" spans="1:6" x14ac:dyDescent="0.35">
      <c r="A55" s="6"/>
      <c r="B55" s="109" t="s">
        <v>36</v>
      </c>
      <c r="C55" s="17" t="s">
        <v>2</v>
      </c>
      <c r="D55" s="129">
        <f>((67.4*3)+(0.5*10*1.5))-((2*1.2*6)+(1.5*2.2)*(1+0.9)*(2.1*2.2)+(0.7*2.2))</f>
        <v>164.79260000000002</v>
      </c>
      <c r="E55" s="17"/>
      <c r="F55" s="15">
        <f t="shared" si="1"/>
        <v>0</v>
      </c>
    </row>
    <row r="56" spans="1:6" ht="16.8" x14ac:dyDescent="0.35">
      <c r="A56" s="6">
        <v>3.3</v>
      </c>
      <c r="B56" s="111" t="s">
        <v>42</v>
      </c>
      <c r="C56" s="17"/>
      <c r="D56" s="128"/>
      <c r="E56" s="17"/>
      <c r="F56" s="15">
        <f t="shared" si="1"/>
        <v>0</v>
      </c>
    </row>
    <row r="57" spans="1:6" ht="32.4" x14ac:dyDescent="0.4">
      <c r="A57" s="6"/>
      <c r="B57" s="112" t="s">
        <v>43</v>
      </c>
      <c r="C57" s="17"/>
      <c r="D57" s="128"/>
      <c r="E57" s="17"/>
      <c r="F57" s="15">
        <f t="shared" si="1"/>
        <v>0</v>
      </c>
    </row>
    <row r="58" spans="1:6" ht="16.2" customHeight="1" x14ac:dyDescent="0.4">
      <c r="A58" s="6"/>
      <c r="B58" s="113" t="s">
        <v>44</v>
      </c>
      <c r="C58" s="17" t="s">
        <v>2</v>
      </c>
      <c r="D58" s="128">
        <f>D55*2</f>
        <v>329.58520000000004</v>
      </c>
      <c r="E58" s="17"/>
      <c r="F58" s="15">
        <f t="shared" si="1"/>
        <v>0</v>
      </c>
    </row>
    <row r="59" spans="1:6" ht="33" customHeight="1" x14ac:dyDescent="0.4">
      <c r="A59" s="6"/>
      <c r="B59" s="112" t="s">
        <v>45</v>
      </c>
      <c r="C59" s="17"/>
      <c r="D59" s="128"/>
      <c r="E59" s="17"/>
      <c r="F59" s="15">
        <f t="shared" si="1"/>
        <v>0</v>
      </c>
    </row>
    <row r="60" spans="1:6" ht="16.2" x14ac:dyDescent="0.4">
      <c r="A60" s="6"/>
      <c r="B60" s="113" t="s">
        <v>46</v>
      </c>
      <c r="C60" s="17" t="s">
        <v>2</v>
      </c>
      <c r="D60" s="128">
        <f>D58</f>
        <v>329.58520000000004</v>
      </c>
      <c r="E60" s="17"/>
      <c r="F60" s="15">
        <f t="shared" si="1"/>
        <v>0</v>
      </c>
    </row>
    <row r="61" spans="1:6" ht="16.8" x14ac:dyDescent="0.45">
      <c r="A61" s="6">
        <v>3.4</v>
      </c>
      <c r="B61" s="114" t="s">
        <v>50</v>
      </c>
      <c r="C61" s="17"/>
      <c r="D61" s="128"/>
      <c r="E61" s="17"/>
      <c r="F61" s="15">
        <f t="shared" si="1"/>
        <v>0</v>
      </c>
    </row>
    <row r="62" spans="1:6" ht="32.4" x14ac:dyDescent="0.4">
      <c r="A62" s="6"/>
      <c r="B62" s="113" t="s">
        <v>47</v>
      </c>
      <c r="C62" s="17" t="s">
        <v>2</v>
      </c>
      <c r="D62" s="128">
        <f>12.2*2*2</f>
        <v>48.8</v>
      </c>
      <c r="E62" s="17"/>
      <c r="F62" s="15">
        <f t="shared" si="1"/>
        <v>0</v>
      </c>
    </row>
    <row r="63" spans="1:6" ht="48.6" x14ac:dyDescent="0.4">
      <c r="A63" s="6"/>
      <c r="B63" s="113" t="s">
        <v>51</v>
      </c>
      <c r="C63" s="17" t="s">
        <v>2</v>
      </c>
      <c r="D63" s="128">
        <f>D62</f>
        <v>48.8</v>
      </c>
      <c r="E63" s="17"/>
      <c r="F63" s="15">
        <f t="shared" si="1"/>
        <v>0</v>
      </c>
    </row>
    <row r="64" spans="1:6" ht="16.8" x14ac:dyDescent="0.45">
      <c r="A64" s="6">
        <v>3.5</v>
      </c>
      <c r="B64" s="114" t="s">
        <v>48</v>
      </c>
      <c r="C64" s="17"/>
      <c r="D64" s="128"/>
      <c r="E64" s="17"/>
      <c r="F64" s="15">
        <f t="shared" si="1"/>
        <v>0</v>
      </c>
    </row>
    <row r="65" spans="1:6" ht="32.4" x14ac:dyDescent="0.4">
      <c r="A65" s="6"/>
      <c r="B65" s="113" t="s">
        <v>49</v>
      </c>
      <c r="C65" s="17" t="s">
        <v>2</v>
      </c>
      <c r="D65" s="128">
        <f>13*10</f>
        <v>130</v>
      </c>
      <c r="E65" s="17"/>
      <c r="F65" s="15">
        <f t="shared" si="1"/>
        <v>0</v>
      </c>
    </row>
    <row r="66" spans="1:6" ht="48.6" x14ac:dyDescent="0.4">
      <c r="A66" s="6"/>
      <c r="B66" s="113" t="s">
        <v>52</v>
      </c>
      <c r="C66" s="17" t="s">
        <v>2</v>
      </c>
      <c r="D66" s="128">
        <f>D65</f>
        <v>130</v>
      </c>
      <c r="E66" s="17"/>
      <c r="F66" s="15">
        <f t="shared" si="1"/>
        <v>0</v>
      </c>
    </row>
    <row r="67" spans="1:6" ht="48.6" x14ac:dyDescent="0.4">
      <c r="A67" s="6"/>
      <c r="B67" s="113" t="s">
        <v>117</v>
      </c>
      <c r="C67" s="17" t="s">
        <v>214</v>
      </c>
      <c r="D67" s="128">
        <v>63</v>
      </c>
      <c r="E67" s="17"/>
      <c r="F67" s="133">
        <f t="shared" si="1"/>
        <v>0</v>
      </c>
    </row>
    <row r="68" spans="1:6" ht="16.2" customHeight="1" x14ac:dyDescent="0.45">
      <c r="A68" s="6"/>
      <c r="B68" s="114" t="s">
        <v>82</v>
      </c>
      <c r="C68" s="17"/>
      <c r="D68" s="128"/>
      <c r="E68" s="17"/>
      <c r="F68" s="22">
        <f>SUM(F50:F67)</f>
        <v>0</v>
      </c>
    </row>
    <row r="69" spans="1:6" ht="16.8" x14ac:dyDescent="0.45">
      <c r="A69" s="105">
        <v>4</v>
      </c>
      <c r="B69" s="114" t="s">
        <v>84</v>
      </c>
      <c r="C69" s="17"/>
      <c r="D69" s="128"/>
      <c r="E69" s="17"/>
      <c r="F69" s="15"/>
    </row>
    <row r="70" spans="1:6" ht="16.2" x14ac:dyDescent="0.35">
      <c r="A70" s="6">
        <v>4.0999999999999996</v>
      </c>
      <c r="B70" s="115" t="s">
        <v>85</v>
      </c>
      <c r="C70" s="17"/>
      <c r="D70" s="128"/>
      <c r="E70" s="17"/>
      <c r="F70" s="15"/>
    </row>
    <row r="71" spans="1:6" ht="109.2" x14ac:dyDescent="0.35">
      <c r="A71" s="6"/>
      <c r="B71" s="109" t="s">
        <v>218</v>
      </c>
      <c r="C71" s="17" t="s">
        <v>2</v>
      </c>
      <c r="D71" s="128">
        <f>12*10*1.1</f>
        <v>132</v>
      </c>
      <c r="E71" s="17"/>
      <c r="F71" s="15">
        <f>E71*D71</f>
        <v>0</v>
      </c>
    </row>
    <row r="72" spans="1:6" ht="16.2" x14ac:dyDescent="0.35">
      <c r="A72" s="6">
        <v>4.2</v>
      </c>
      <c r="B72" s="115" t="s">
        <v>59</v>
      </c>
      <c r="C72" s="17"/>
      <c r="D72" s="128"/>
      <c r="E72" s="17"/>
      <c r="F72" s="15">
        <f t="shared" ref="F72:F75" si="2">E72*D72</f>
        <v>0</v>
      </c>
    </row>
    <row r="73" spans="1:6" ht="48.6" x14ac:dyDescent="0.35">
      <c r="A73" s="6"/>
      <c r="B73" s="116" t="s">
        <v>224</v>
      </c>
      <c r="C73" s="17" t="s">
        <v>2</v>
      </c>
      <c r="D73" s="128">
        <f>12*10</f>
        <v>120</v>
      </c>
      <c r="E73" s="17"/>
      <c r="F73" s="15">
        <f t="shared" si="2"/>
        <v>0</v>
      </c>
    </row>
    <row r="74" spans="1:6" ht="16.2" x14ac:dyDescent="0.35">
      <c r="A74" s="6"/>
      <c r="B74" s="115" t="s">
        <v>60</v>
      </c>
      <c r="C74" s="17"/>
      <c r="D74" s="128"/>
      <c r="E74" s="17"/>
      <c r="F74" s="15">
        <f t="shared" si="2"/>
        <v>0</v>
      </c>
    </row>
    <row r="75" spans="1:6" x14ac:dyDescent="0.35">
      <c r="A75" s="6"/>
      <c r="B75" s="109" t="s">
        <v>61</v>
      </c>
      <c r="C75" s="17" t="s">
        <v>87</v>
      </c>
      <c r="D75" s="128">
        <v>48</v>
      </c>
      <c r="E75" s="17"/>
      <c r="F75" s="15">
        <f t="shared" si="2"/>
        <v>0</v>
      </c>
    </row>
    <row r="76" spans="1:6" ht="16.2" x14ac:dyDescent="0.4">
      <c r="A76" s="6"/>
      <c r="B76" s="108" t="s">
        <v>86</v>
      </c>
      <c r="C76" s="17"/>
      <c r="D76" s="128"/>
      <c r="E76" s="17"/>
      <c r="F76" s="22">
        <f>SUM(F71:F75)</f>
        <v>0</v>
      </c>
    </row>
    <row r="77" spans="1:6" ht="16.2" x14ac:dyDescent="0.35">
      <c r="A77" s="105">
        <v>5</v>
      </c>
      <c r="B77" s="108" t="s">
        <v>89</v>
      </c>
      <c r="C77" s="17"/>
      <c r="D77" s="128"/>
      <c r="E77" s="17"/>
      <c r="F77" s="15"/>
    </row>
    <row r="78" spans="1:6" x14ac:dyDescent="0.35">
      <c r="A78" s="6">
        <v>5.0999999999999996</v>
      </c>
      <c r="B78" s="6" t="s">
        <v>88</v>
      </c>
      <c r="C78" s="17"/>
      <c r="D78" s="128"/>
      <c r="E78" s="17"/>
      <c r="F78" s="15"/>
    </row>
    <row r="79" spans="1:6" ht="46.8" x14ac:dyDescent="0.35">
      <c r="A79" s="6"/>
      <c r="B79" s="109" t="s">
        <v>190</v>
      </c>
      <c r="C79" s="17"/>
      <c r="D79" s="128"/>
      <c r="E79" s="17"/>
      <c r="F79" s="15"/>
    </row>
    <row r="80" spans="1:6" x14ac:dyDescent="0.35">
      <c r="A80" s="6"/>
      <c r="B80" s="109" t="s">
        <v>192</v>
      </c>
      <c r="C80" s="17" t="s">
        <v>62</v>
      </c>
      <c r="D80" s="128">
        <v>1</v>
      </c>
      <c r="E80" s="17"/>
      <c r="F80" s="15">
        <f>E80*D80</f>
        <v>0</v>
      </c>
    </row>
    <row r="81" spans="1:6" ht="46.8" x14ac:dyDescent="0.35">
      <c r="A81" s="6"/>
      <c r="B81" s="109" t="s">
        <v>58</v>
      </c>
      <c r="C81" s="4"/>
      <c r="D81" s="146"/>
      <c r="E81" s="4"/>
      <c r="F81" s="4"/>
    </row>
    <row r="82" spans="1:6" x14ac:dyDescent="0.35">
      <c r="A82" s="6"/>
      <c r="B82" s="117" t="s">
        <v>191</v>
      </c>
      <c r="C82" s="17" t="s">
        <v>62</v>
      </c>
      <c r="D82" s="128">
        <v>1</v>
      </c>
      <c r="E82" s="17"/>
      <c r="F82" s="15">
        <f t="shared" ref="F82:F90" si="3">E82*D82</f>
        <v>0</v>
      </c>
    </row>
    <row r="83" spans="1:6" ht="16.2" x14ac:dyDescent="0.35">
      <c r="A83" s="6">
        <v>5.2</v>
      </c>
      <c r="B83" s="108" t="s">
        <v>53</v>
      </c>
      <c r="C83" s="17"/>
      <c r="D83" s="128"/>
      <c r="E83" s="17"/>
      <c r="F83" s="15"/>
    </row>
    <row r="84" spans="1:6" ht="78" x14ac:dyDescent="0.35">
      <c r="A84" s="6"/>
      <c r="B84" s="109" t="s">
        <v>54</v>
      </c>
      <c r="C84" s="17"/>
      <c r="D84" s="128"/>
      <c r="E84" s="17"/>
      <c r="F84" s="15"/>
    </row>
    <row r="85" spans="1:6" x14ac:dyDescent="0.35">
      <c r="A85" s="6"/>
      <c r="B85" s="109" t="s">
        <v>75</v>
      </c>
      <c r="C85" s="17" t="s">
        <v>62</v>
      </c>
      <c r="D85" s="128">
        <v>2</v>
      </c>
      <c r="E85" s="17"/>
      <c r="F85" s="15">
        <f t="shared" si="3"/>
        <v>0</v>
      </c>
    </row>
    <row r="86" spans="1:6" ht="16.2" x14ac:dyDescent="0.35">
      <c r="A86" s="6">
        <v>5.3</v>
      </c>
      <c r="B86" s="108" t="s">
        <v>55</v>
      </c>
      <c r="C86" s="17"/>
      <c r="D86" s="128"/>
      <c r="E86" s="17"/>
      <c r="F86" s="15"/>
    </row>
    <row r="87" spans="1:6" ht="93.6" x14ac:dyDescent="0.35">
      <c r="A87" s="6"/>
      <c r="B87" s="109" t="s">
        <v>56</v>
      </c>
      <c r="C87" s="17"/>
      <c r="D87" s="128"/>
      <c r="E87" s="17"/>
      <c r="F87" s="15"/>
    </row>
    <row r="88" spans="1:6" x14ac:dyDescent="0.35">
      <c r="A88" s="6"/>
      <c r="B88" s="109" t="s">
        <v>130</v>
      </c>
      <c r="C88" s="17" t="s">
        <v>22</v>
      </c>
      <c r="D88" s="128">
        <f>6*2*1.2</f>
        <v>14.399999999999999</v>
      </c>
      <c r="E88" s="17"/>
      <c r="F88" s="15">
        <f t="shared" si="3"/>
        <v>0</v>
      </c>
    </row>
    <row r="89" spans="1:6" x14ac:dyDescent="0.35">
      <c r="A89" s="6"/>
      <c r="B89" s="109" t="s">
        <v>129</v>
      </c>
      <c r="C89" s="17" t="s">
        <v>131</v>
      </c>
      <c r="D89" s="128">
        <f>1.2*1.2*1</f>
        <v>1.44</v>
      </c>
      <c r="E89" s="17"/>
      <c r="F89" s="15">
        <f t="shared" si="3"/>
        <v>0</v>
      </c>
    </row>
    <row r="90" spans="1:6" x14ac:dyDescent="0.35">
      <c r="A90" s="6"/>
      <c r="B90" s="109" t="s">
        <v>57</v>
      </c>
      <c r="C90" s="17" t="s">
        <v>22</v>
      </c>
      <c r="D90" s="128">
        <f>2*0.6*0.6</f>
        <v>0.72</v>
      </c>
      <c r="E90" s="17"/>
      <c r="F90" s="15">
        <f t="shared" si="3"/>
        <v>0</v>
      </c>
    </row>
    <row r="91" spans="1:6" ht="16.2" x14ac:dyDescent="0.4">
      <c r="A91" s="6"/>
      <c r="B91" s="23" t="s">
        <v>90</v>
      </c>
      <c r="C91" s="17"/>
      <c r="D91" s="128"/>
      <c r="E91" s="17"/>
      <c r="F91" s="22">
        <f>SUM(F80:F90)</f>
        <v>0</v>
      </c>
    </row>
    <row r="92" spans="1:6" ht="16.2" x14ac:dyDescent="0.4">
      <c r="A92" s="118">
        <v>6</v>
      </c>
      <c r="B92" s="23" t="s">
        <v>101</v>
      </c>
      <c r="C92" s="17"/>
      <c r="D92" s="128"/>
      <c r="E92" s="17"/>
      <c r="F92" s="15"/>
    </row>
    <row r="93" spans="1:6" ht="78" x14ac:dyDescent="0.35">
      <c r="A93" s="119">
        <v>6.1</v>
      </c>
      <c r="B93" s="109" t="s">
        <v>92</v>
      </c>
      <c r="C93" s="17" t="s">
        <v>70</v>
      </c>
      <c r="D93" s="128">
        <v>16</v>
      </c>
      <c r="E93" s="17"/>
      <c r="F93" s="15">
        <f>E93*D93</f>
        <v>0</v>
      </c>
    </row>
    <row r="94" spans="1:6" ht="61.95" customHeight="1" x14ac:dyDescent="0.35">
      <c r="A94" s="119">
        <v>6.2</v>
      </c>
      <c r="B94" s="109" t="s">
        <v>115</v>
      </c>
      <c r="C94" s="17" t="s">
        <v>62</v>
      </c>
      <c r="D94" s="128">
        <v>16</v>
      </c>
      <c r="E94" s="17"/>
      <c r="F94" s="15">
        <f t="shared" ref="F94:F99" si="4">E94*D94</f>
        <v>0</v>
      </c>
    </row>
    <row r="95" spans="1:6" ht="46.8" x14ac:dyDescent="0.35">
      <c r="A95" s="119">
        <v>6.3</v>
      </c>
      <c r="B95" s="109" t="s">
        <v>93</v>
      </c>
      <c r="C95" s="17" t="s">
        <v>62</v>
      </c>
      <c r="D95" s="128">
        <v>13</v>
      </c>
      <c r="E95" s="17"/>
      <c r="F95" s="15">
        <f t="shared" si="4"/>
        <v>0</v>
      </c>
    </row>
    <row r="96" spans="1:6" ht="93.6" x14ac:dyDescent="0.35">
      <c r="A96" s="119">
        <v>6.4</v>
      </c>
      <c r="B96" s="109" t="s">
        <v>94</v>
      </c>
      <c r="C96" s="17" t="s">
        <v>62</v>
      </c>
      <c r="D96" s="128">
        <v>7</v>
      </c>
      <c r="E96" s="17"/>
      <c r="F96" s="15">
        <f t="shared" si="4"/>
        <v>0</v>
      </c>
    </row>
    <row r="97" spans="1:6" ht="62.4" x14ac:dyDescent="0.35">
      <c r="A97" s="119">
        <v>6.5</v>
      </c>
      <c r="B97" s="109" t="s">
        <v>216</v>
      </c>
      <c r="C97" s="17" t="s">
        <v>62</v>
      </c>
      <c r="D97" s="128">
        <v>1</v>
      </c>
      <c r="E97" s="17"/>
      <c r="F97" s="15">
        <f t="shared" si="4"/>
        <v>0</v>
      </c>
    </row>
    <row r="98" spans="1:6" ht="62.4" x14ac:dyDescent="0.35">
      <c r="A98" s="119">
        <v>6.8</v>
      </c>
      <c r="B98" s="109" t="s">
        <v>95</v>
      </c>
      <c r="C98" s="17" t="s">
        <v>70</v>
      </c>
      <c r="D98" s="128">
        <v>1</v>
      </c>
      <c r="E98" s="17"/>
      <c r="F98" s="15">
        <f t="shared" si="4"/>
        <v>0</v>
      </c>
    </row>
    <row r="99" spans="1:6" x14ac:dyDescent="0.35">
      <c r="A99" s="119">
        <v>6.9</v>
      </c>
      <c r="B99" s="109" t="s">
        <v>103</v>
      </c>
      <c r="C99" s="17" t="s">
        <v>70</v>
      </c>
      <c r="D99" s="128">
        <v>1</v>
      </c>
      <c r="E99" s="17"/>
      <c r="F99" s="15">
        <f t="shared" si="4"/>
        <v>0</v>
      </c>
    </row>
    <row r="100" spans="1:6" ht="16.2" x14ac:dyDescent="0.4">
      <c r="A100" s="6"/>
      <c r="B100" s="23" t="s">
        <v>104</v>
      </c>
      <c r="C100" s="17"/>
      <c r="D100" s="128"/>
      <c r="E100" s="17"/>
      <c r="F100" s="22">
        <f>SUM(F93:F99)</f>
        <v>0</v>
      </c>
    </row>
    <row r="101" spans="1:6" ht="16.2" x14ac:dyDescent="0.35">
      <c r="A101" s="120">
        <v>7</v>
      </c>
      <c r="B101" s="108" t="s">
        <v>102</v>
      </c>
      <c r="C101" s="17"/>
      <c r="D101" s="128"/>
      <c r="E101" s="17"/>
      <c r="F101" s="15"/>
    </row>
    <row r="102" spans="1:6" ht="109.2" x14ac:dyDescent="0.35">
      <c r="A102" s="109">
        <v>7.1</v>
      </c>
      <c r="B102" s="109" t="s">
        <v>96</v>
      </c>
      <c r="C102" s="17" t="s">
        <v>105</v>
      </c>
      <c r="D102" s="128">
        <v>2</v>
      </c>
      <c r="E102" s="17"/>
      <c r="F102" s="15">
        <f>E102*D102</f>
        <v>0</v>
      </c>
    </row>
    <row r="103" spans="1:6" ht="78" x14ac:dyDescent="0.35">
      <c r="A103" s="109">
        <v>7.2</v>
      </c>
      <c r="B103" s="109" t="s">
        <v>97</v>
      </c>
      <c r="C103" s="17" t="s">
        <v>106</v>
      </c>
      <c r="D103" s="128">
        <v>2</v>
      </c>
      <c r="E103" s="17"/>
      <c r="F103" s="15">
        <f t="shared" ref="F103:F105" si="5">E103*D103</f>
        <v>0</v>
      </c>
    </row>
    <row r="104" spans="1:6" ht="124.8" x14ac:dyDescent="0.35">
      <c r="A104" s="109">
        <v>7.3</v>
      </c>
      <c r="B104" s="109" t="s">
        <v>107</v>
      </c>
      <c r="C104" s="17" t="s">
        <v>70</v>
      </c>
      <c r="D104" s="128">
        <v>1</v>
      </c>
      <c r="E104" s="17"/>
      <c r="F104" s="15">
        <f t="shared" si="5"/>
        <v>0</v>
      </c>
    </row>
    <row r="105" spans="1:6" ht="140.4" x14ac:dyDescent="0.35">
      <c r="A105" s="109">
        <v>7.9</v>
      </c>
      <c r="B105" s="109" t="s">
        <v>98</v>
      </c>
      <c r="C105" s="17" t="s">
        <v>70</v>
      </c>
      <c r="D105" s="128">
        <v>1</v>
      </c>
      <c r="E105" s="17"/>
      <c r="F105" s="15">
        <f t="shared" si="5"/>
        <v>0</v>
      </c>
    </row>
    <row r="106" spans="1:6" ht="16.2" x14ac:dyDescent="0.4">
      <c r="A106" s="109"/>
      <c r="B106" s="108" t="s">
        <v>108</v>
      </c>
      <c r="C106" s="17"/>
      <c r="D106" s="128"/>
      <c r="E106" s="17"/>
      <c r="F106" s="22">
        <f>SUM(F102:F105)</f>
        <v>0</v>
      </c>
    </row>
    <row r="107" spans="1:6" ht="16.2" x14ac:dyDescent="0.4">
      <c r="A107" s="105">
        <v>8</v>
      </c>
      <c r="B107" s="23" t="s">
        <v>100</v>
      </c>
      <c r="C107" s="17"/>
      <c r="D107" s="128"/>
      <c r="E107" s="17"/>
      <c r="F107" s="15"/>
    </row>
    <row r="108" spans="1:6" ht="31.2" x14ac:dyDescent="0.35">
      <c r="A108" s="6">
        <v>8.1</v>
      </c>
      <c r="B108" s="109" t="s">
        <v>111</v>
      </c>
      <c r="C108" s="17" t="s">
        <v>7</v>
      </c>
      <c r="D108" s="128">
        <f>4*3*3</f>
        <v>36</v>
      </c>
      <c r="E108" s="17"/>
      <c r="F108" s="15">
        <f>E108*D108</f>
        <v>0</v>
      </c>
    </row>
    <row r="109" spans="1:6" ht="31.2" x14ac:dyDescent="0.35">
      <c r="A109" s="6">
        <v>8.1999999999999993</v>
      </c>
      <c r="B109" s="109" t="s">
        <v>99</v>
      </c>
      <c r="C109" s="17" t="s">
        <v>7</v>
      </c>
      <c r="D109" s="128">
        <f>4*3*0.05</f>
        <v>0.60000000000000009</v>
      </c>
      <c r="E109" s="17"/>
      <c r="F109" s="15">
        <f t="shared" ref="F109:F112" si="6">E109*D109</f>
        <v>0</v>
      </c>
    </row>
    <row r="110" spans="1:6" ht="46.8" x14ac:dyDescent="0.35">
      <c r="A110" s="6">
        <v>8.3000000000000007</v>
      </c>
      <c r="B110" s="109" t="s">
        <v>233</v>
      </c>
      <c r="C110" s="17" t="s">
        <v>7</v>
      </c>
      <c r="D110" s="128">
        <f>14*2.8*0.4</f>
        <v>15.68</v>
      </c>
      <c r="E110" s="17"/>
      <c r="F110" s="124">
        <f t="shared" si="6"/>
        <v>0</v>
      </c>
    </row>
    <row r="111" spans="1:6" ht="31.2" x14ac:dyDescent="0.35">
      <c r="A111" s="6">
        <v>8.4</v>
      </c>
      <c r="B111" s="109" t="s">
        <v>112</v>
      </c>
      <c r="C111" s="17" t="s">
        <v>7</v>
      </c>
      <c r="D111" s="128">
        <f>14*0.2*0.2</f>
        <v>0.56000000000000005</v>
      </c>
      <c r="E111" s="17"/>
      <c r="F111" s="15">
        <f t="shared" si="6"/>
        <v>0</v>
      </c>
    </row>
    <row r="112" spans="1:6" ht="46.8" x14ac:dyDescent="0.35">
      <c r="A112" s="6">
        <v>8.5</v>
      </c>
      <c r="B112" s="109" t="s">
        <v>110</v>
      </c>
      <c r="C112" s="17" t="s">
        <v>7</v>
      </c>
      <c r="D112" s="128">
        <f>4*3*0.2</f>
        <v>2.4000000000000004</v>
      </c>
      <c r="E112" s="17"/>
      <c r="F112" s="15">
        <f t="shared" si="6"/>
        <v>0</v>
      </c>
    </row>
    <row r="113" spans="1:6" ht="16.2" x14ac:dyDescent="0.4">
      <c r="A113" s="23"/>
      <c r="B113" s="23" t="s">
        <v>113</v>
      </c>
      <c r="C113" s="147"/>
      <c r="D113" s="148"/>
      <c r="E113" s="147"/>
      <c r="F113" s="22">
        <f>SUM(F108:F112)</f>
        <v>0</v>
      </c>
    </row>
    <row r="114" spans="1:6" ht="16.2" x14ac:dyDescent="0.4">
      <c r="A114" s="23"/>
      <c r="B114" s="23" t="s">
        <v>128</v>
      </c>
      <c r="C114" s="147"/>
      <c r="D114" s="148"/>
      <c r="E114" s="147"/>
      <c r="F114" s="22">
        <f>F113+F106+F100+F91+F76+F68+F46+F10</f>
        <v>0</v>
      </c>
    </row>
    <row r="119" spans="1:6" x14ac:dyDescent="0.35">
      <c r="B119" s="4" t="s">
        <v>109</v>
      </c>
    </row>
  </sheetData>
  <mergeCells count="4">
    <mergeCell ref="A1:F1"/>
    <mergeCell ref="A2:F2"/>
    <mergeCell ref="A3:F3"/>
    <mergeCell ref="A4:F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83"/>
  <sheetViews>
    <sheetView zoomScale="115" zoomScaleNormal="115" workbookViewId="0">
      <pane xSplit="5" ySplit="5" topLeftCell="F6" activePane="bottomRight" state="frozen"/>
      <selection pane="topRight" activeCell="F1" sqref="F1"/>
      <selection pane="bottomLeft" activeCell="A6" sqref="A6"/>
      <selection pane="bottomRight" activeCell="K19" sqref="K19"/>
    </sheetView>
  </sheetViews>
  <sheetFormatPr defaultColWidth="8.88671875" defaultRowHeight="15.6" x14ac:dyDescent="0.35"/>
  <cols>
    <col min="1" max="1" width="5.6640625" style="4" customWidth="1"/>
    <col min="2" max="2" width="62.88671875" style="4" customWidth="1"/>
    <col min="3" max="3" width="8.88671875" style="18"/>
    <col min="4" max="4" width="8.88671875" style="28"/>
    <col min="5" max="5" width="11.109375" style="18" customWidth="1"/>
    <col min="6" max="6" width="14.88671875" style="24" customWidth="1"/>
    <col min="7" max="16384" width="8.88671875" style="4"/>
  </cols>
  <sheetData>
    <row r="1" spans="1:6" ht="16.2" x14ac:dyDescent="0.4">
      <c r="A1" s="155" t="s">
        <v>68</v>
      </c>
      <c r="B1" s="155"/>
      <c r="C1" s="155"/>
      <c r="D1" s="155"/>
      <c r="E1" s="155"/>
      <c r="F1" s="155"/>
    </row>
    <row r="2" spans="1:6" ht="16.2" x14ac:dyDescent="0.4">
      <c r="A2" s="155" t="s">
        <v>193</v>
      </c>
      <c r="B2" s="155"/>
      <c r="C2" s="155"/>
      <c r="D2" s="155"/>
      <c r="E2" s="155"/>
      <c r="F2" s="155"/>
    </row>
    <row r="3" spans="1:6" ht="16.2" x14ac:dyDescent="0.4">
      <c r="A3" s="155" t="s">
        <v>69</v>
      </c>
      <c r="B3" s="155"/>
      <c r="C3" s="155"/>
      <c r="D3" s="155"/>
      <c r="E3" s="155"/>
      <c r="F3" s="155"/>
    </row>
    <row r="4" spans="1:6" ht="16.2" x14ac:dyDescent="0.4">
      <c r="A4" s="155" t="s">
        <v>212</v>
      </c>
      <c r="B4" s="155"/>
      <c r="C4" s="155"/>
      <c r="D4" s="155"/>
      <c r="E4" s="155"/>
      <c r="F4" s="155"/>
    </row>
    <row r="5" spans="1:6" s="27" customFormat="1" ht="16.8" x14ac:dyDescent="0.35">
      <c r="A5" s="53" t="s">
        <v>10</v>
      </c>
      <c r="B5" s="54" t="s">
        <v>63</v>
      </c>
      <c r="C5" s="53" t="s">
        <v>64</v>
      </c>
      <c r="D5" s="55" t="s">
        <v>65</v>
      </c>
      <c r="E5" s="150" t="s">
        <v>66</v>
      </c>
      <c r="F5" s="57" t="s">
        <v>67</v>
      </c>
    </row>
    <row r="6" spans="1:6" ht="48.6" x14ac:dyDescent="0.4">
      <c r="A6" s="58">
        <v>1.2</v>
      </c>
      <c r="B6" s="59" t="s">
        <v>211</v>
      </c>
      <c r="C6" s="60" t="s">
        <v>71</v>
      </c>
      <c r="D6" s="61">
        <v>200</v>
      </c>
      <c r="E6" s="62"/>
      <c r="F6" s="63">
        <f>E6*D6</f>
        <v>0</v>
      </c>
    </row>
    <row r="7" spans="1:6" ht="16.8" x14ac:dyDescent="0.4">
      <c r="A7" s="58"/>
      <c r="B7" s="64" t="s">
        <v>78</v>
      </c>
      <c r="C7" s="60"/>
      <c r="D7" s="61"/>
      <c r="E7" s="62"/>
      <c r="F7" s="65">
        <f>SUM(F6:F6)</f>
        <v>0</v>
      </c>
    </row>
    <row r="8" spans="1:6" ht="16.8" x14ac:dyDescent="0.4">
      <c r="A8" s="66">
        <v>2</v>
      </c>
      <c r="B8" s="67" t="s">
        <v>3</v>
      </c>
      <c r="C8" s="68"/>
      <c r="D8" s="61"/>
      <c r="E8" s="62"/>
      <c r="F8" s="63"/>
    </row>
    <row r="9" spans="1:6" ht="16.8" x14ac:dyDescent="0.4">
      <c r="A9" s="58">
        <v>2.1</v>
      </c>
      <c r="B9" s="67" t="s">
        <v>4</v>
      </c>
      <c r="C9" s="68"/>
      <c r="D9" s="61"/>
      <c r="E9" s="62"/>
      <c r="F9" s="63"/>
    </row>
    <row r="10" spans="1:6" ht="16.2" x14ac:dyDescent="0.4">
      <c r="A10" s="58"/>
      <c r="B10" s="69" t="s">
        <v>5</v>
      </c>
      <c r="C10" s="68"/>
      <c r="D10" s="61"/>
      <c r="E10" s="62"/>
      <c r="F10" s="63"/>
    </row>
    <row r="11" spans="1:6" ht="32.4" x14ac:dyDescent="0.4">
      <c r="A11" s="58"/>
      <c r="B11" s="59" t="s">
        <v>6</v>
      </c>
      <c r="C11" s="68" t="s">
        <v>7</v>
      </c>
      <c r="D11" s="61">
        <f>20*0.8*0.5</f>
        <v>8</v>
      </c>
      <c r="E11" s="62"/>
      <c r="F11" s="63">
        <f>E11*D11</f>
        <v>0</v>
      </c>
    </row>
    <row r="12" spans="1:6" ht="16.2" x14ac:dyDescent="0.4">
      <c r="A12" s="58"/>
      <c r="B12" s="59" t="s">
        <v>8</v>
      </c>
      <c r="C12" s="68" t="s">
        <v>7</v>
      </c>
      <c r="D12" s="61">
        <f>1*1*1*4</f>
        <v>4</v>
      </c>
      <c r="E12" s="62"/>
      <c r="F12" s="63">
        <f t="shared" ref="F12:F40" si="0">E12*D12</f>
        <v>0</v>
      </c>
    </row>
    <row r="13" spans="1:6" ht="32.4" x14ac:dyDescent="0.4">
      <c r="A13" s="58"/>
      <c r="B13" s="70" t="s">
        <v>9</v>
      </c>
      <c r="C13" s="68" t="s">
        <v>10</v>
      </c>
      <c r="D13" s="61">
        <f>(1)</f>
        <v>1</v>
      </c>
      <c r="E13" s="62"/>
      <c r="F13" s="63">
        <f t="shared" si="0"/>
        <v>0</v>
      </c>
    </row>
    <row r="14" spans="1:6" ht="16.2" x14ac:dyDescent="0.4">
      <c r="A14" s="58"/>
      <c r="B14" s="71" t="s">
        <v>11</v>
      </c>
      <c r="C14" s="68" t="s">
        <v>10</v>
      </c>
      <c r="D14" s="61">
        <f>(1)</f>
        <v>1</v>
      </c>
      <c r="E14" s="62"/>
      <c r="F14" s="63">
        <f t="shared" si="0"/>
        <v>0</v>
      </c>
    </row>
    <row r="15" spans="1:6" ht="16.8" x14ac:dyDescent="0.4">
      <c r="A15" s="58">
        <v>2.2000000000000002</v>
      </c>
      <c r="B15" s="67" t="s">
        <v>12</v>
      </c>
      <c r="C15" s="68"/>
      <c r="D15" s="61"/>
      <c r="E15" s="62"/>
      <c r="F15" s="63"/>
    </row>
    <row r="16" spans="1:6" ht="16.2" x14ac:dyDescent="0.4">
      <c r="A16" s="58"/>
      <c r="B16" s="59" t="s">
        <v>13</v>
      </c>
      <c r="C16" s="68" t="s">
        <v>7</v>
      </c>
      <c r="D16" s="61">
        <f>((D11+D12)*0.3)</f>
        <v>3.5999999999999996</v>
      </c>
      <c r="E16" s="62"/>
      <c r="F16" s="63">
        <f t="shared" si="0"/>
        <v>0</v>
      </c>
    </row>
    <row r="17" spans="1:9" ht="16.8" x14ac:dyDescent="0.4">
      <c r="A17" s="58">
        <v>2.2999999999999998</v>
      </c>
      <c r="B17" s="72" t="s">
        <v>14</v>
      </c>
      <c r="C17" s="68"/>
      <c r="D17" s="61"/>
      <c r="E17" s="62"/>
      <c r="F17" s="63">
        <f t="shared" si="0"/>
        <v>0</v>
      </c>
    </row>
    <row r="18" spans="1:9" ht="16.2" x14ac:dyDescent="0.4">
      <c r="A18" s="58"/>
      <c r="B18" s="59" t="s">
        <v>15</v>
      </c>
      <c r="C18" s="68" t="s">
        <v>7</v>
      </c>
      <c r="D18" s="61">
        <f>D11+D12-D16</f>
        <v>8.4</v>
      </c>
      <c r="E18" s="62"/>
      <c r="F18" s="63">
        <f t="shared" si="0"/>
        <v>0</v>
      </c>
    </row>
    <row r="19" spans="1:9" ht="16.8" x14ac:dyDescent="0.4">
      <c r="A19" s="58">
        <v>2.4</v>
      </c>
      <c r="B19" s="72" t="s">
        <v>16</v>
      </c>
      <c r="C19" s="68"/>
      <c r="D19" s="61"/>
      <c r="E19" s="62"/>
      <c r="F19" s="63">
        <f t="shared" si="0"/>
        <v>0</v>
      </c>
    </row>
    <row r="20" spans="1:9" ht="16.2" x14ac:dyDescent="0.4">
      <c r="A20" s="58"/>
      <c r="B20" s="59" t="s">
        <v>223</v>
      </c>
      <c r="C20" s="68" t="s">
        <v>2</v>
      </c>
      <c r="D20" s="61">
        <f>5*5*0.35</f>
        <v>8.75</v>
      </c>
      <c r="E20" s="62"/>
      <c r="F20" s="63">
        <f t="shared" si="0"/>
        <v>0</v>
      </c>
    </row>
    <row r="21" spans="1:9" ht="16.2" x14ac:dyDescent="0.4">
      <c r="A21" s="58"/>
      <c r="B21" s="59" t="s">
        <v>17</v>
      </c>
      <c r="C21" s="68" t="s">
        <v>2</v>
      </c>
      <c r="D21" s="61">
        <f>5*5*0.05</f>
        <v>1.25</v>
      </c>
      <c r="E21" s="62"/>
      <c r="F21" s="63">
        <f t="shared" si="0"/>
        <v>0</v>
      </c>
      <c r="I21" s="4" t="s">
        <v>109</v>
      </c>
    </row>
    <row r="22" spans="1:9" ht="16.8" x14ac:dyDescent="0.4">
      <c r="A22" s="58">
        <v>2.5</v>
      </c>
      <c r="B22" s="67" t="s">
        <v>23</v>
      </c>
      <c r="C22" s="68"/>
      <c r="D22" s="61"/>
      <c r="E22" s="62"/>
      <c r="F22" s="63">
        <f t="shared" si="0"/>
        <v>0</v>
      </c>
    </row>
    <row r="23" spans="1:9" ht="32.4" x14ac:dyDescent="0.4">
      <c r="A23" s="58"/>
      <c r="B23" s="59" t="s">
        <v>24</v>
      </c>
      <c r="C23" s="68"/>
      <c r="D23" s="61"/>
      <c r="E23" s="62"/>
      <c r="F23" s="63">
        <f t="shared" si="0"/>
        <v>0</v>
      </c>
    </row>
    <row r="24" spans="1:9" ht="16.2" x14ac:dyDescent="0.4">
      <c r="A24" s="58"/>
      <c r="B24" s="71" t="s">
        <v>25</v>
      </c>
      <c r="C24" s="68" t="s">
        <v>7</v>
      </c>
      <c r="D24" s="61">
        <f>20*0.05*0.4</f>
        <v>0.4</v>
      </c>
      <c r="E24" s="62"/>
      <c r="F24" s="63">
        <f t="shared" si="0"/>
        <v>0</v>
      </c>
    </row>
    <row r="25" spans="1:9" ht="16.2" x14ac:dyDescent="0.4">
      <c r="A25" s="58"/>
      <c r="B25" s="71" t="s">
        <v>26</v>
      </c>
      <c r="C25" s="68" t="s">
        <v>7</v>
      </c>
      <c r="D25" s="61">
        <f>1*1*0.05*4</f>
        <v>0.2</v>
      </c>
      <c r="E25" s="62"/>
      <c r="F25" s="63">
        <f t="shared" si="0"/>
        <v>0</v>
      </c>
    </row>
    <row r="26" spans="1:9" ht="32.4" x14ac:dyDescent="0.4">
      <c r="A26" s="58"/>
      <c r="B26" s="73" t="s">
        <v>18</v>
      </c>
      <c r="C26" s="62"/>
      <c r="D26" s="74"/>
      <c r="E26" s="62"/>
      <c r="F26" s="63">
        <f t="shared" si="0"/>
        <v>0</v>
      </c>
    </row>
    <row r="27" spans="1:9" ht="16.2" x14ac:dyDescent="0.35">
      <c r="A27" s="59"/>
      <c r="B27" s="59" t="s">
        <v>19</v>
      </c>
      <c r="C27" s="68" t="s">
        <v>7</v>
      </c>
      <c r="D27" s="74">
        <f>1*1*0.25*4</f>
        <v>1</v>
      </c>
      <c r="E27" s="62"/>
      <c r="F27" s="63">
        <f t="shared" si="0"/>
        <v>0</v>
      </c>
    </row>
    <row r="28" spans="1:9" ht="16.2" x14ac:dyDescent="0.35">
      <c r="A28" s="59"/>
      <c r="B28" s="59" t="s">
        <v>219</v>
      </c>
      <c r="C28" s="68" t="s">
        <v>7</v>
      </c>
      <c r="D28" s="74">
        <f>0.2*0.2*1*4</f>
        <v>0.16000000000000003</v>
      </c>
      <c r="E28" s="62"/>
      <c r="F28" s="63">
        <f t="shared" si="0"/>
        <v>0</v>
      </c>
    </row>
    <row r="29" spans="1:9" ht="16.2" x14ac:dyDescent="0.35">
      <c r="A29" s="59"/>
      <c r="B29" s="59" t="s">
        <v>72</v>
      </c>
      <c r="C29" s="68" t="s">
        <v>7</v>
      </c>
      <c r="D29" s="74">
        <f>20*0.2*0.4</f>
        <v>1.6</v>
      </c>
      <c r="E29" s="62"/>
      <c r="F29" s="63">
        <f t="shared" si="0"/>
        <v>0</v>
      </c>
    </row>
    <row r="30" spans="1:9" ht="16.2" x14ac:dyDescent="0.35">
      <c r="A30" s="59"/>
      <c r="B30" s="59" t="s">
        <v>21</v>
      </c>
      <c r="C30" s="68" t="s">
        <v>22</v>
      </c>
      <c r="D30" s="74">
        <f>5*5*0.1</f>
        <v>2.5</v>
      </c>
      <c r="E30" s="62"/>
      <c r="F30" s="63">
        <f t="shared" si="0"/>
        <v>0</v>
      </c>
    </row>
    <row r="31" spans="1:9" ht="48.6" x14ac:dyDescent="0.4">
      <c r="A31" s="58"/>
      <c r="B31" s="59" t="s">
        <v>20</v>
      </c>
      <c r="C31" s="68" t="s">
        <v>2</v>
      </c>
      <c r="D31" s="74">
        <f>D30</f>
        <v>2.5</v>
      </c>
      <c r="E31" s="62"/>
      <c r="F31" s="63">
        <f t="shared" si="0"/>
        <v>0</v>
      </c>
    </row>
    <row r="32" spans="1:9" ht="16.8" x14ac:dyDescent="0.4">
      <c r="A32" s="58">
        <v>2.6</v>
      </c>
      <c r="B32" s="149" t="s">
        <v>27</v>
      </c>
      <c r="C32" s="62"/>
      <c r="D32" s="74"/>
      <c r="E32" s="62"/>
      <c r="F32" s="63">
        <f t="shared" si="0"/>
        <v>0</v>
      </c>
    </row>
    <row r="33" spans="1:9" ht="64.8" x14ac:dyDescent="0.4">
      <c r="A33" s="58"/>
      <c r="B33" s="1" t="s">
        <v>28</v>
      </c>
      <c r="C33" s="68" t="s">
        <v>2</v>
      </c>
      <c r="D33" s="74">
        <f>D30-D29</f>
        <v>0.89999999999999991</v>
      </c>
      <c r="E33" s="62"/>
      <c r="F33" s="63">
        <f t="shared" si="0"/>
        <v>0</v>
      </c>
    </row>
    <row r="34" spans="1:9" ht="16.8" x14ac:dyDescent="0.4">
      <c r="A34" s="58">
        <v>2.7</v>
      </c>
      <c r="B34" s="149" t="s">
        <v>29</v>
      </c>
      <c r="C34" s="62"/>
      <c r="D34" s="74"/>
      <c r="E34" s="62"/>
      <c r="F34" s="63">
        <f t="shared" si="0"/>
        <v>0</v>
      </c>
    </row>
    <row r="35" spans="1:9" ht="48.6" x14ac:dyDescent="0.4">
      <c r="A35" s="58"/>
      <c r="B35" s="1" t="s">
        <v>30</v>
      </c>
      <c r="C35" s="68" t="s">
        <v>2</v>
      </c>
      <c r="D35" s="74">
        <f>D33</f>
        <v>0.89999999999999991</v>
      </c>
      <c r="E35" s="62"/>
      <c r="F35" s="63">
        <f t="shared" si="0"/>
        <v>0</v>
      </c>
    </row>
    <row r="36" spans="1:9" ht="16.8" x14ac:dyDescent="0.4">
      <c r="A36" s="58">
        <v>2.8</v>
      </c>
      <c r="B36" s="149" t="s">
        <v>31</v>
      </c>
      <c r="C36" s="62"/>
      <c r="D36" s="74"/>
      <c r="E36" s="62"/>
      <c r="F36" s="63" t="s">
        <v>109</v>
      </c>
    </row>
    <row r="37" spans="1:9" ht="48.6" x14ac:dyDescent="0.4">
      <c r="A37" s="58"/>
      <c r="B37" s="3" t="s">
        <v>80</v>
      </c>
      <c r="C37" s="62"/>
      <c r="D37" s="74"/>
      <c r="E37" s="62"/>
      <c r="F37" s="63"/>
    </row>
    <row r="38" spans="1:9" ht="16.2" x14ac:dyDescent="0.4">
      <c r="A38" s="58"/>
      <c r="B38" s="1" t="s">
        <v>34</v>
      </c>
      <c r="C38" s="62" t="s">
        <v>7</v>
      </c>
      <c r="D38" s="74">
        <f>20*0.4*1.1</f>
        <v>8.8000000000000007</v>
      </c>
      <c r="E38" s="62"/>
      <c r="F38" s="63">
        <f t="shared" si="0"/>
        <v>0</v>
      </c>
    </row>
    <row r="39" spans="1:9" ht="16.2" x14ac:dyDescent="0.4">
      <c r="A39" s="58"/>
      <c r="B39" s="107" t="s">
        <v>32</v>
      </c>
      <c r="C39" s="62"/>
      <c r="D39" s="74"/>
      <c r="E39" s="62"/>
      <c r="F39" s="63">
        <f t="shared" si="0"/>
        <v>0</v>
      </c>
    </row>
    <row r="40" spans="1:9" ht="16.2" x14ac:dyDescent="0.4">
      <c r="A40" s="58"/>
      <c r="B40" s="1" t="s">
        <v>33</v>
      </c>
      <c r="C40" s="62" t="s">
        <v>2</v>
      </c>
      <c r="D40" s="74">
        <f>8.8*1</f>
        <v>8.8000000000000007</v>
      </c>
      <c r="E40" s="62"/>
      <c r="F40" s="63">
        <f t="shared" si="0"/>
        <v>0</v>
      </c>
    </row>
    <row r="41" spans="1:9" ht="16.8" x14ac:dyDescent="0.4">
      <c r="A41" s="58"/>
      <c r="B41" s="75" t="s">
        <v>83</v>
      </c>
      <c r="C41" s="62"/>
      <c r="D41" s="74"/>
      <c r="E41" s="62"/>
      <c r="F41" s="65">
        <f>SUM(F11:F40)</f>
        <v>0</v>
      </c>
    </row>
    <row r="42" spans="1:9" ht="16.8" x14ac:dyDescent="0.4">
      <c r="A42" s="66">
        <v>3</v>
      </c>
      <c r="B42" s="75" t="s">
        <v>81</v>
      </c>
      <c r="C42" s="62"/>
      <c r="D42" s="74"/>
      <c r="E42" s="62"/>
      <c r="F42" s="63"/>
    </row>
    <row r="43" spans="1:9" ht="16.8" x14ac:dyDescent="0.4">
      <c r="A43" s="58">
        <v>3.1</v>
      </c>
      <c r="B43" s="111" t="s">
        <v>37</v>
      </c>
      <c r="C43" s="62"/>
      <c r="D43" s="74"/>
      <c r="E43" s="62"/>
      <c r="F43" s="63"/>
    </row>
    <row r="44" spans="1:9" ht="32.4" x14ac:dyDescent="0.4">
      <c r="A44" s="58"/>
      <c r="B44" s="73" t="s">
        <v>18</v>
      </c>
      <c r="C44" s="62"/>
      <c r="D44" s="74"/>
      <c r="E44" s="62"/>
      <c r="F44" s="63"/>
    </row>
    <row r="45" spans="1:9" ht="16.2" x14ac:dyDescent="0.4">
      <c r="A45" s="58"/>
      <c r="B45" s="116" t="s">
        <v>220</v>
      </c>
      <c r="C45" s="62" t="s">
        <v>7</v>
      </c>
      <c r="D45" s="74">
        <f>0.2*0.2*3.4*4</f>
        <v>0.54400000000000004</v>
      </c>
      <c r="E45" s="62"/>
      <c r="F45" s="63">
        <f>E45*D45</f>
        <v>0</v>
      </c>
    </row>
    <row r="46" spans="1:9" ht="16.2" x14ac:dyDescent="0.4">
      <c r="A46" s="58"/>
      <c r="B46" s="116" t="s">
        <v>39</v>
      </c>
      <c r="C46" s="62" t="s">
        <v>7</v>
      </c>
      <c r="D46" s="74">
        <f>20*0.2*0.2</f>
        <v>0.8</v>
      </c>
      <c r="E46" s="62"/>
      <c r="F46" s="63">
        <f t="shared" ref="F46:F59" si="1">E46*D46</f>
        <v>0</v>
      </c>
      <c r="I46" s="4" t="s">
        <v>109</v>
      </c>
    </row>
    <row r="47" spans="1:9" ht="16.2" x14ac:dyDescent="0.4">
      <c r="A47" s="58"/>
      <c r="B47" s="116" t="s">
        <v>40</v>
      </c>
      <c r="C47" s="62" t="s">
        <v>7</v>
      </c>
      <c r="D47" s="74">
        <f>D46</f>
        <v>0.8</v>
      </c>
      <c r="E47" s="62"/>
      <c r="F47" s="63">
        <f t="shared" si="1"/>
        <v>0</v>
      </c>
    </row>
    <row r="48" spans="1:9" ht="16.8" x14ac:dyDescent="0.4">
      <c r="A48" s="58">
        <v>3.2</v>
      </c>
      <c r="B48" s="111" t="s">
        <v>35</v>
      </c>
      <c r="C48" s="62"/>
      <c r="D48" s="74"/>
      <c r="E48" s="62"/>
      <c r="F48" s="63">
        <f t="shared" si="1"/>
        <v>0</v>
      </c>
    </row>
    <row r="49" spans="1:6" ht="48.6" x14ac:dyDescent="0.4">
      <c r="A49" s="58"/>
      <c r="B49" s="151" t="s">
        <v>41</v>
      </c>
      <c r="C49" s="62"/>
      <c r="D49" s="74"/>
      <c r="E49" s="62"/>
      <c r="F49" s="63">
        <f t="shared" si="1"/>
        <v>0</v>
      </c>
    </row>
    <row r="50" spans="1:6" ht="16.2" x14ac:dyDescent="0.4">
      <c r="A50" s="58"/>
      <c r="B50" s="116" t="s">
        <v>36</v>
      </c>
      <c r="C50" s="62" t="s">
        <v>2</v>
      </c>
      <c r="D50" s="74">
        <f>((20*3)+(0.5*1.2*5))</f>
        <v>63</v>
      </c>
      <c r="E50" s="62"/>
      <c r="F50" s="63">
        <f t="shared" si="1"/>
        <v>0</v>
      </c>
    </row>
    <row r="51" spans="1:6" ht="16.8" x14ac:dyDescent="0.4">
      <c r="A51" s="58">
        <v>3.3</v>
      </c>
      <c r="B51" s="111" t="s">
        <v>42</v>
      </c>
      <c r="C51" s="62"/>
      <c r="D51" s="74"/>
      <c r="E51" s="62"/>
      <c r="F51" s="63">
        <f t="shared" si="1"/>
        <v>0</v>
      </c>
    </row>
    <row r="52" spans="1:6" ht="16.2" x14ac:dyDescent="0.4">
      <c r="A52" s="58"/>
      <c r="B52" s="112" t="s">
        <v>43</v>
      </c>
      <c r="C52" s="62"/>
      <c r="D52" s="74"/>
      <c r="E52" s="62"/>
      <c r="F52" s="63">
        <f t="shared" si="1"/>
        <v>0</v>
      </c>
    </row>
    <row r="53" spans="1:6" ht="16.2" customHeight="1" x14ac:dyDescent="0.4">
      <c r="A53" s="58"/>
      <c r="B53" s="113" t="s">
        <v>44</v>
      </c>
      <c r="C53" s="62" t="s">
        <v>2</v>
      </c>
      <c r="D53" s="74">
        <f>D50*2</f>
        <v>126</v>
      </c>
      <c r="E53" s="62"/>
      <c r="F53" s="63">
        <f t="shared" si="1"/>
        <v>0</v>
      </c>
    </row>
    <row r="54" spans="1:6" ht="33" customHeight="1" x14ac:dyDescent="0.4">
      <c r="A54" s="58"/>
      <c r="B54" s="112" t="s">
        <v>45</v>
      </c>
      <c r="C54" s="62"/>
      <c r="D54" s="74"/>
      <c r="E54" s="62"/>
      <c r="F54" s="63">
        <f t="shared" si="1"/>
        <v>0</v>
      </c>
    </row>
    <row r="55" spans="1:6" ht="16.2" x14ac:dyDescent="0.4">
      <c r="A55" s="58"/>
      <c r="B55" s="113" t="s">
        <v>46</v>
      </c>
      <c r="C55" s="62" t="s">
        <v>2</v>
      </c>
      <c r="D55" s="74">
        <f>D53</f>
        <v>126</v>
      </c>
      <c r="E55" s="62"/>
      <c r="F55" s="63">
        <f t="shared" si="1"/>
        <v>0</v>
      </c>
    </row>
    <row r="56" spans="1:6" ht="16.8" x14ac:dyDescent="0.45">
      <c r="A56" s="58">
        <v>3.5</v>
      </c>
      <c r="B56" s="114" t="s">
        <v>48</v>
      </c>
      <c r="C56" s="62"/>
      <c r="D56" s="74"/>
      <c r="E56" s="62"/>
      <c r="F56" s="63">
        <f t="shared" si="1"/>
        <v>0</v>
      </c>
    </row>
    <row r="57" spans="1:6" ht="32.4" x14ac:dyDescent="0.4">
      <c r="A57" s="58"/>
      <c r="B57" s="113" t="s">
        <v>49</v>
      </c>
      <c r="C57" s="62" t="s">
        <v>2</v>
      </c>
      <c r="D57" s="74">
        <f>5*5</f>
        <v>25</v>
      </c>
      <c r="E57" s="62"/>
      <c r="F57" s="63">
        <f t="shared" si="1"/>
        <v>0</v>
      </c>
    </row>
    <row r="58" spans="1:6" ht="48.6" x14ac:dyDescent="0.4">
      <c r="A58" s="58"/>
      <c r="B58" s="113" t="s">
        <v>52</v>
      </c>
      <c r="C58" s="62" t="s">
        <v>2</v>
      </c>
      <c r="D58" s="74">
        <f>D57</f>
        <v>25</v>
      </c>
      <c r="E58" s="62"/>
      <c r="F58" s="63">
        <f t="shared" si="1"/>
        <v>0</v>
      </c>
    </row>
    <row r="59" spans="1:6" s="103" customFormat="1" ht="48.6" x14ac:dyDescent="0.4">
      <c r="A59" s="58"/>
      <c r="B59" s="113" t="s">
        <v>117</v>
      </c>
      <c r="C59" s="62" t="s">
        <v>214</v>
      </c>
      <c r="D59" s="74">
        <v>20</v>
      </c>
      <c r="E59" s="62"/>
      <c r="F59" s="63">
        <f t="shared" si="1"/>
        <v>0</v>
      </c>
    </row>
    <row r="60" spans="1:6" ht="16.2" customHeight="1" x14ac:dyDescent="0.45">
      <c r="A60" s="58"/>
      <c r="B60" s="114" t="s">
        <v>82</v>
      </c>
      <c r="C60" s="62"/>
      <c r="D60" s="74"/>
      <c r="E60" s="62"/>
      <c r="F60" s="65">
        <f>SUM(F45:F59)</f>
        <v>0</v>
      </c>
    </row>
    <row r="61" spans="1:6" ht="16.8" x14ac:dyDescent="0.45">
      <c r="A61" s="66">
        <v>4</v>
      </c>
      <c r="B61" s="114" t="s">
        <v>84</v>
      </c>
      <c r="C61" s="62"/>
      <c r="D61" s="74"/>
      <c r="E61" s="62"/>
      <c r="F61" s="63"/>
    </row>
    <row r="62" spans="1:6" ht="16.2" x14ac:dyDescent="0.4">
      <c r="A62" s="58">
        <v>4.0999999999999996</v>
      </c>
      <c r="B62" s="115" t="s">
        <v>85</v>
      </c>
      <c r="C62" s="62"/>
      <c r="D62" s="74"/>
      <c r="E62" s="62"/>
      <c r="F62" s="63"/>
    </row>
    <row r="63" spans="1:6" ht="113.4" x14ac:dyDescent="0.4">
      <c r="A63" s="58"/>
      <c r="B63" s="116" t="s">
        <v>218</v>
      </c>
      <c r="C63" s="62" t="s">
        <v>2</v>
      </c>
      <c r="D63" s="74">
        <f>5*5*1.1</f>
        <v>27.500000000000004</v>
      </c>
      <c r="E63" s="62"/>
      <c r="F63" s="63">
        <f>E63*D63</f>
        <v>0</v>
      </c>
    </row>
    <row r="64" spans="1:6" ht="16.2" x14ac:dyDescent="0.4">
      <c r="A64" s="58">
        <v>4.2</v>
      </c>
      <c r="B64" s="115" t="s">
        <v>59</v>
      </c>
      <c r="C64" s="62"/>
      <c r="D64" s="74"/>
      <c r="E64" s="62"/>
      <c r="F64" s="63">
        <f t="shared" ref="F64:F67" si="2">E64*D64</f>
        <v>0</v>
      </c>
    </row>
    <row r="65" spans="1:6" ht="48.6" x14ac:dyDescent="0.4">
      <c r="A65" s="58"/>
      <c r="B65" s="116" t="s">
        <v>224</v>
      </c>
      <c r="C65" s="62" t="s">
        <v>2</v>
      </c>
      <c r="D65" s="74">
        <f>5*5</f>
        <v>25</v>
      </c>
      <c r="E65" s="62"/>
      <c r="F65" s="63">
        <f t="shared" si="2"/>
        <v>0</v>
      </c>
    </row>
    <row r="66" spans="1:6" ht="16.2" x14ac:dyDescent="0.4">
      <c r="A66" s="58"/>
      <c r="B66" s="115" t="s">
        <v>60</v>
      </c>
      <c r="C66" s="62"/>
      <c r="D66" s="74"/>
      <c r="E66" s="62"/>
      <c r="F66" s="63">
        <f t="shared" si="2"/>
        <v>0</v>
      </c>
    </row>
    <row r="67" spans="1:6" ht="16.2" x14ac:dyDescent="0.4">
      <c r="A67" s="58"/>
      <c r="B67" s="116" t="s">
        <v>61</v>
      </c>
      <c r="C67" s="62" t="s">
        <v>87</v>
      </c>
      <c r="D67" s="74">
        <v>20</v>
      </c>
      <c r="E67" s="62"/>
      <c r="F67" s="63">
        <f t="shared" si="2"/>
        <v>0</v>
      </c>
    </row>
    <row r="68" spans="1:6" ht="16.8" x14ac:dyDescent="0.4">
      <c r="A68" s="58"/>
      <c r="B68" s="111" t="s">
        <v>86</v>
      </c>
      <c r="C68" s="62"/>
      <c r="D68" s="74"/>
      <c r="E68" s="62"/>
      <c r="F68" s="65">
        <f>SUM(F63:F67)</f>
        <v>0</v>
      </c>
    </row>
    <row r="69" spans="1:6" ht="16.8" x14ac:dyDescent="0.4">
      <c r="A69" s="66">
        <v>5</v>
      </c>
      <c r="B69" s="111" t="s">
        <v>89</v>
      </c>
      <c r="C69" s="62"/>
      <c r="D69" s="74"/>
      <c r="E69" s="62"/>
      <c r="F69" s="63"/>
    </row>
    <row r="70" spans="1:6" ht="16.2" x14ac:dyDescent="0.4">
      <c r="A70" s="58">
        <v>5.0999999999999996</v>
      </c>
      <c r="B70" s="58" t="s">
        <v>210</v>
      </c>
      <c r="C70" s="62"/>
      <c r="D70" s="74"/>
      <c r="E70" s="62"/>
      <c r="F70" s="63"/>
    </row>
    <row r="71" spans="1:6" ht="48.6" x14ac:dyDescent="0.4">
      <c r="A71" s="58"/>
      <c r="B71" s="116" t="s">
        <v>132</v>
      </c>
      <c r="C71" s="62"/>
      <c r="D71" s="74"/>
      <c r="E71" s="62"/>
      <c r="F71" s="63"/>
    </row>
    <row r="72" spans="1:6" ht="16.2" x14ac:dyDescent="0.4">
      <c r="A72" s="58"/>
      <c r="B72" s="152" t="s">
        <v>118</v>
      </c>
      <c r="C72" s="62" t="s">
        <v>62</v>
      </c>
      <c r="D72" s="74">
        <v>1</v>
      </c>
      <c r="E72" s="62"/>
      <c r="F72" s="63">
        <f>E72*D72</f>
        <v>0</v>
      </c>
    </row>
    <row r="73" spans="1:6" ht="16.8" x14ac:dyDescent="0.4">
      <c r="A73" s="58">
        <v>5.3</v>
      </c>
      <c r="B73" s="111" t="s">
        <v>55</v>
      </c>
      <c r="C73" s="62"/>
      <c r="D73" s="74"/>
      <c r="E73" s="62"/>
      <c r="F73" s="63"/>
    </row>
    <row r="74" spans="1:6" ht="84.6" customHeight="1" x14ac:dyDescent="0.4">
      <c r="A74" s="58"/>
      <c r="B74" s="116" t="s">
        <v>56</v>
      </c>
      <c r="C74" s="62"/>
      <c r="D74" s="74"/>
      <c r="E74" s="62"/>
      <c r="F74" s="63"/>
    </row>
    <row r="75" spans="1:6" ht="16.2" x14ac:dyDescent="0.4">
      <c r="A75" s="58"/>
      <c r="B75" s="116" t="s">
        <v>129</v>
      </c>
      <c r="C75" s="62" t="s">
        <v>131</v>
      </c>
      <c r="D75" s="74">
        <f>1.2*1.2*2</f>
        <v>2.88</v>
      </c>
      <c r="E75" s="62"/>
      <c r="F75" s="63">
        <f t="shared" ref="F75" si="3">E75*D75</f>
        <v>0</v>
      </c>
    </row>
    <row r="76" spans="1:6" ht="16.8" x14ac:dyDescent="0.45">
      <c r="A76" s="58"/>
      <c r="B76" s="76" t="s">
        <v>90</v>
      </c>
      <c r="C76" s="62"/>
      <c r="D76" s="74"/>
      <c r="E76" s="62"/>
      <c r="F76" s="65">
        <f>SUM(F72:F75)</f>
        <v>0</v>
      </c>
    </row>
    <row r="77" spans="1:6" ht="16.8" x14ac:dyDescent="0.45">
      <c r="A77" s="153">
        <v>6</v>
      </c>
      <c r="B77" s="76" t="s">
        <v>101</v>
      </c>
      <c r="C77" s="62"/>
      <c r="D77" s="74"/>
      <c r="E77" s="62"/>
      <c r="F77" s="63"/>
    </row>
    <row r="78" spans="1:6" ht="81" x14ac:dyDescent="0.35">
      <c r="A78" s="116">
        <v>6.1</v>
      </c>
      <c r="B78" s="116" t="s">
        <v>170</v>
      </c>
      <c r="C78" s="62" t="s">
        <v>70</v>
      </c>
      <c r="D78" s="74">
        <v>1</v>
      </c>
      <c r="E78" s="62"/>
      <c r="F78" s="63">
        <f>E78*D78</f>
        <v>0</v>
      </c>
    </row>
    <row r="79" spans="1:6" ht="16.8" x14ac:dyDescent="0.45">
      <c r="A79" s="58"/>
      <c r="B79" s="76" t="s">
        <v>133</v>
      </c>
      <c r="C79" s="62"/>
      <c r="D79" s="74"/>
      <c r="E79" s="62"/>
      <c r="F79" s="65">
        <f>F78</f>
        <v>0</v>
      </c>
    </row>
    <row r="80" spans="1:6" ht="16.8" x14ac:dyDescent="0.45">
      <c r="A80" s="58"/>
      <c r="B80" s="76" t="s">
        <v>134</v>
      </c>
      <c r="C80" s="62"/>
      <c r="D80" s="74"/>
      <c r="E80" s="62"/>
      <c r="F80" s="65">
        <f>F79+F76+F68+F60+F41+F7</f>
        <v>0</v>
      </c>
    </row>
    <row r="83" spans="2:2" x14ac:dyDescent="0.35">
      <c r="B83" s="4" t="s">
        <v>109</v>
      </c>
    </row>
  </sheetData>
  <mergeCells count="4">
    <mergeCell ref="A1:F1"/>
    <mergeCell ref="A2:F2"/>
    <mergeCell ref="A3:F3"/>
    <mergeCell ref="A4:F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60"/>
  <sheetViews>
    <sheetView zoomScaleNormal="100" workbookViewId="0">
      <pane xSplit="5" ySplit="5" topLeftCell="F6" activePane="bottomRight" state="frozen"/>
      <selection pane="topRight" activeCell="F1" sqref="F1"/>
      <selection pane="bottomLeft" activeCell="A6" sqref="A6"/>
      <selection pane="bottomRight" activeCell="K12" sqref="K12"/>
    </sheetView>
  </sheetViews>
  <sheetFormatPr defaultColWidth="8.88671875" defaultRowHeight="15.6" x14ac:dyDescent="0.35"/>
  <cols>
    <col min="1" max="1" width="5.6640625" style="42" customWidth="1"/>
    <col min="2" max="2" width="62.88671875" style="4" customWidth="1"/>
    <col min="3" max="3" width="8.88671875" style="18"/>
    <col min="4" max="4" width="8.88671875" style="37"/>
    <col min="5" max="5" width="11.109375" style="18" customWidth="1"/>
    <col min="6" max="6" width="16.33203125" style="24" customWidth="1"/>
    <col min="7" max="7" width="9.77734375" style="4" customWidth="1"/>
    <col min="8" max="16384" width="8.88671875" style="4"/>
  </cols>
  <sheetData>
    <row r="1" spans="1:7" ht="16.2" x14ac:dyDescent="0.4">
      <c r="A1" s="156" t="s">
        <v>68</v>
      </c>
      <c r="B1" s="156"/>
      <c r="C1" s="156"/>
      <c r="D1" s="156"/>
      <c r="E1" s="156"/>
      <c r="F1" s="156"/>
      <c r="G1" s="77"/>
    </row>
    <row r="2" spans="1:7" ht="16.2" x14ac:dyDescent="0.4">
      <c r="A2" s="155" t="s">
        <v>193</v>
      </c>
      <c r="B2" s="155"/>
      <c r="C2" s="155"/>
      <c r="D2" s="155"/>
      <c r="E2" s="155"/>
      <c r="F2" s="155"/>
      <c r="G2" s="77"/>
    </row>
    <row r="3" spans="1:7" ht="16.2" x14ac:dyDescent="0.4">
      <c r="A3" s="156" t="s">
        <v>69</v>
      </c>
      <c r="B3" s="156"/>
      <c r="C3" s="156"/>
      <c r="D3" s="156"/>
      <c r="E3" s="156"/>
      <c r="F3" s="156"/>
      <c r="G3" s="77"/>
    </row>
    <row r="4" spans="1:7" ht="16.2" x14ac:dyDescent="0.4">
      <c r="A4" s="156" t="s">
        <v>136</v>
      </c>
      <c r="B4" s="156"/>
      <c r="C4" s="156"/>
      <c r="D4" s="156"/>
      <c r="E4" s="156"/>
      <c r="F4" s="156"/>
      <c r="G4" s="77"/>
    </row>
    <row r="5" spans="1:7" s="27" customFormat="1" ht="16.8" x14ac:dyDescent="0.4">
      <c r="A5" s="78" t="s">
        <v>10</v>
      </c>
      <c r="B5" s="54" t="s">
        <v>63</v>
      </c>
      <c r="C5" s="53" t="s">
        <v>64</v>
      </c>
      <c r="D5" s="79" t="s">
        <v>65</v>
      </c>
      <c r="E5" s="56" t="s">
        <v>66</v>
      </c>
      <c r="F5" s="57" t="s">
        <v>67</v>
      </c>
      <c r="G5" s="80"/>
    </row>
    <row r="6" spans="1:7" s="27" customFormat="1" ht="16.8" x14ac:dyDescent="0.4">
      <c r="A6" s="78" t="s">
        <v>157</v>
      </c>
      <c r="B6" s="54" t="s">
        <v>158</v>
      </c>
      <c r="C6" s="53"/>
      <c r="D6" s="79"/>
      <c r="E6" s="56"/>
      <c r="F6" s="57"/>
      <c r="G6" s="80"/>
    </row>
    <row r="7" spans="1:7" ht="16.2" x14ac:dyDescent="0.4">
      <c r="A7" s="81">
        <v>1</v>
      </c>
      <c r="B7" s="59" t="s">
        <v>4</v>
      </c>
      <c r="C7" s="82"/>
      <c r="D7" s="83"/>
      <c r="E7" s="82"/>
      <c r="F7" s="82"/>
      <c r="G7" s="77"/>
    </row>
    <row r="8" spans="1:7" s="34" customFormat="1" ht="32.4" x14ac:dyDescent="0.3">
      <c r="A8" s="81" t="s">
        <v>109</v>
      </c>
      <c r="B8" s="59" t="s">
        <v>6</v>
      </c>
      <c r="C8" s="82" t="s">
        <v>7</v>
      </c>
      <c r="D8" s="83">
        <f>17*1*0.5</f>
        <v>8.5</v>
      </c>
      <c r="E8" s="82"/>
      <c r="F8" s="84">
        <f t="shared" ref="F8" si="0">E8*$D8</f>
        <v>0</v>
      </c>
      <c r="G8" s="85"/>
    </row>
    <row r="9" spans="1:7" s="34" customFormat="1" ht="20.100000000000001" customHeight="1" x14ac:dyDescent="0.3">
      <c r="A9" s="81">
        <v>2</v>
      </c>
      <c r="B9" s="59" t="s">
        <v>141</v>
      </c>
      <c r="C9" s="82"/>
      <c r="D9" s="83"/>
      <c r="E9" s="82"/>
      <c r="F9" s="84"/>
      <c r="G9" s="85"/>
    </row>
    <row r="10" spans="1:7" s="34" customFormat="1" ht="32.4" x14ac:dyDescent="0.3">
      <c r="A10" s="81" t="s">
        <v>109</v>
      </c>
      <c r="B10" s="59" t="s">
        <v>137</v>
      </c>
      <c r="C10" s="82" t="s">
        <v>7</v>
      </c>
      <c r="D10" s="83">
        <f>17*0.05*0.5</f>
        <v>0.42500000000000004</v>
      </c>
      <c r="E10" s="82"/>
      <c r="F10" s="84">
        <f t="shared" ref="F10" si="1">E10*$D10</f>
        <v>0</v>
      </c>
      <c r="G10" s="85"/>
    </row>
    <row r="11" spans="1:7" s="34" customFormat="1" ht="97.5" customHeight="1" x14ac:dyDescent="0.3">
      <c r="A11" s="81" t="s">
        <v>109</v>
      </c>
      <c r="B11" s="59" t="s">
        <v>146</v>
      </c>
      <c r="C11" s="82" t="s">
        <v>7</v>
      </c>
      <c r="D11" s="83">
        <f>17*0.4*0.15</f>
        <v>1.02</v>
      </c>
      <c r="E11" s="82"/>
      <c r="F11" s="84">
        <f t="shared" ref="F11:F13" si="2">E11*$D11</f>
        <v>0</v>
      </c>
      <c r="G11" s="85"/>
    </row>
    <row r="12" spans="1:7" s="34" customFormat="1" ht="97.5" customHeight="1" x14ac:dyDescent="0.3">
      <c r="A12" s="81"/>
      <c r="B12" s="59" t="s">
        <v>207</v>
      </c>
      <c r="C12" s="82" t="s">
        <v>7</v>
      </c>
      <c r="D12" s="83">
        <f>(0.2*0.2*2.5*4)+(0.6*0.6*4*0.25)</f>
        <v>0.76</v>
      </c>
      <c r="E12" s="82"/>
      <c r="F12" s="84">
        <f t="shared" si="2"/>
        <v>0</v>
      </c>
      <c r="G12" s="85"/>
    </row>
    <row r="13" spans="1:7" s="35" customFormat="1" ht="81" x14ac:dyDescent="0.3">
      <c r="A13" s="81" t="s">
        <v>109</v>
      </c>
      <c r="B13" s="59" t="s">
        <v>148</v>
      </c>
      <c r="C13" s="82" t="s">
        <v>7</v>
      </c>
      <c r="D13" s="83">
        <f>(17*0.2*0.2)</f>
        <v>0.68000000000000016</v>
      </c>
      <c r="E13" s="82"/>
      <c r="F13" s="84">
        <f t="shared" si="2"/>
        <v>0</v>
      </c>
      <c r="G13" s="86"/>
    </row>
    <row r="14" spans="1:7" s="34" customFormat="1" ht="20.100000000000001" customHeight="1" x14ac:dyDescent="0.3">
      <c r="A14" s="81">
        <v>3</v>
      </c>
      <c r="B14" s="59" t="s">
        <v>142</v>
      </c>
      <c r="C14" s="82"/>
      <c r="D14" s="83"/>
      <c r="E14" s="82"/>
      <c r="F14" s="84"/>
      <c r="G14" s="85"/>
    </row>
    <row r="15" spans="1:7" s="34" customFormat="1" ht="48.6" x14ac:dyDescent="0.3">
      <c r="A15" s="81" t="s">
        <v>109</v>
      </c>
      <c r="B15" s="59" t="s">
        <v>147</v>
      </c>
      <c r="C15" s="82" t="s">
        <v>7</v>
      </c>
      <c r="D15" s="83">
        <f>(17*0.4*0.85)</f>
        <v>5.78</v>
      </c>
      <c r="E15" s="82"/>
      <c r="F15" s="84">
        <f t="shared" ref="F15:F16" si="3">E15*$D15</f>
        <v>0</v>
      </c>
      <c r="G15" s="85"/>
    </row>
    <row r="16" spans="1:7" s="34" customFormat="1" ht="48.6" x14ac:dyDescent="0.3">
      <c r="A16" s="81" t="s">
        <v>109</v>
      </c>
      <c r="B16" s="59" t="s">
        <v>139</v>
      </c>
      <c r="C16" s="82" t="s">
        <v>2</v>
      </c>
      <c r="D16" s="83">
        <f>17*2</f>
        <v>34</v>
      </c>
      <c r="E16" s="82"/>
      <c r="F16" s="84">
        <f t="shared" si="3"/>
        <v>0</v>
      </c>
      <c r="G16" s="85"/>
    </row>
    <row r="17" spans="1:7" s="34" customFormat="1" ht="20.100000000000001" customHeight="1" x14ac:dyDescent="0.3">
      <c r="A17" s="81">
        <v>4</v>
      </c>
      <c r="B17" s="59" t="s">
        <v>143</v>
      </c>
      <c r="C17" s="82"/>
      <c r="D17" s="83"/>
      <c r="E17" s="82"/>
      <c r="F17" s="84"/>
      <c r="G17" s="85"/>
    </row>
    <row r="18" spans="1:7" s="35" customFormat="1" ht="50.4" customHeight="1" x14ac:dyDescent="0.3">
      <c r="A18" s="81" t="s">
        <v>109</v>
      </c>
      <c r="B18" s="59" t="s">
        <v>151</v>
      </c>
      <c r="C18" s="82" t="s">
        <v>2</v>
      </c>
      <c r="D18" s="83">
        <f>D16*2</f>
        <v>68</v>
      </c>
      <c r="E18" s="82"/>
      <c r="F18" s="84">
        <f t="shared" ref="F18:F21" si="4">E18*$D18</f>
        <v>0</v>
      </c>
      <c r="G18" s="86"/>
    </row>
    <row r="19" spans="1:7" s="34" customFormat="1" ht="26.4" customHeight="1" x14ac:dyDescent="0.3">
      <c r="A19" s="81" t="s">
        <v>109</v>
      </c>
      <c r="B19" s="59" t="s">
        <v>138</v>
      </c>
      <c r="C19" s="82" t="s">
        <v>2</v>
      </c>
      <c r="D19" s="83">
        <f>D18</f>
        <v>68</v>
      </c>
      <c r="E19" s="82"/>
      <c r="F19" s="84">
        <f t="shared" si="4"/>
        <v>0</v>
      </c>
      <c r="G19" s="85"/>
    </row>
    <row r="20" spans="1:7" s="39" customFormat="1" ht="48.6" customHeight="1" x14ac:dyDescent="0.3">
      <c r="A20" s="81"/>
      <c r="B20" s="59" t="s">
        <v>171</v>
      </c>
      <c r="C20" s="82" t="s">
        <v>2</v>
      </c>
      <c r="D20" s="82">
        <f>17*2.5</f>
        <v>42.5</v>
      </c>
      <c r="E20" s="82"/>
      <c r="F20" s="84">
        <f t="shared" si="4"/>
        <v>0</v>
      </c>
      <c r="G20" s="87"/>
    </row>
    <row r="21" spans="1:7" s="34" customFormat="1" ht="50.1" customHeight="1" x14ac:dyDescent="0.3">
      <c r="A21" s="81" t="s">
        <v>109</v>
      </c>
      <c r="B21" s="59" t="s">
        <v>140</v>
      </c>
      <c r="C21" s="82" t="s">
        <v>149</v>
      </c>
      <c r="D21" s="83">
        <v>1</v>
      </c>
      <c r="E21" s="82"/>
      <c r="F21" s="84">
        <f t="shared" si="4"/>
        <v>0</v>
      </c>
      <c r="G21" s="85"/>
    </row>
    <row r="22" spans="1:7" s="38" customFormat="1" ht="16.8" x14ac:dyDescent="0.45">
      <c r="A22" s="88"/>
      <c r="B22" s="64" t="s">
        <v>235</v>
      </c>
      <c r="C22" s="89"/>
      <c r="D22" s="90"/>
      <c r="E22" s="89"/>
      <c r="F22" s="91">
        <f>SUM(F8:F21)</f>
        <v>0</v>
      </c>
      <c r="G22" s="92"/>
    </row>
    <row r="23" spans="1:7" s="38" customFormat="1" ht="16.8" x14ac:dyDescent="0.45">
      <c r="A23" s="88" t="s">
        <v>162</v>
      </c>
      <c r="B23" s="64" t="s">
        <v>159</v>
      </c>
      <c r="C23" s="89"/>
      <c r="D23" s="90"/>
      <c r="E23" s="89"/>
      <c r="F23" s="91"/>
      <c r="G23" s="92"/>
    </row>
    <row r="24" spans="1:7" s="38" customFormat="1" ht="16.8" x14ac:dyDescent="0.45">
      <c r="A24" s="81">
        <v>1</v>
      </c>
      <c r="B24" s="59" t="s">
        <v>144</v>
      </c>
      <c r="C24" s="89"/>
      <c r="D24" s="90"/>
      <c r="E24" s="89"/>
      <c r="F24" s="91"/>
      <c r="G24" s="92"/>
    </row>
    <row r="25" spans="1:7" ht="64.8" x14ac:dyDescent="0.4">
      <c r="A25" s="81"/>
      <c r="B25" s="59" t="s">
        <v>172</v>
      </c>
      <c r="C25" s="82" t="s">
        <v>126</v>
      </c>
      <c r="D25" s="83">
        <v>1</v>
      </c>
      <c r="E25" s="82"/>
      <c r="F25" s="84">
        <f>D25*E25</f>
        <v>0</v>
      </c>
      <c r="G25" s="77"/>
    </row>
    <row r="26" spans="1:7" ht="16.2" x14ac:dyDescent="0.4">
      <c r="A26" s="81">
        <v>2</v>
      </c>
      <c r="B26" s="59" t="s">
        <v>4</v>
      </c>
      <c r="C26" s="82"/>
      <c r="D26" s="83"/>
      <c r="E26" s="82"/>
      <c r="F26" s="82"/>
      <c r="G26" s="77"/>
    </row>
    <row r="27" spans="1:7" s="34" customFormat="1" ht="32.4" x14ac:dyDescent="0.3">
      <c r="A27" s="81" t="s">
        <v>109</v>
      </c>
      <c r="B27" s="59" t="s">
        <v>6</v>
      </c>
      <c r="C27" s="82" t="s">
        <v>7</v>
      </c>
      <c r="D27" s="83">
        <f>8*0.5*0.5</f>
        <v>2</v>
      </c>
      <c r="E27" s="82"/>
      <c r="F27" s="84">
        <f t="shared" ref="F27" si="5">E27*$D27</f>
        <v>0</v>
      </c>
      <c r="G27" s="85"/>
    </row>
    <row r="28" spans="1:7" s="34" customFormat="1" ht="20.100000000000001" customHeight="1" x14ac:dyDescent="0.3">
      <c r="A28" s="81">
        <v>3</v>
      </c>
      <c r="B28" s="59" t="s">
        <v>141</v>
      </c>
      <c r="C28" s="82"/>
      <c r="D28" s="83"/>
      <c r="E28" s="82"/>
      <c r="F28" s="84"/>
      <c r="G28" s="85"/>
    </row>
    <row r="29" spans="1:7" s="34" customFormat="1" ht="32.4" x14ac:dyDescent="0.3">
      <c r="A29" s="81" t="s">
        <v>109</v>
      </c>
      <c r="B29" s="59" t="s">
        <v>137</v>
      </c>
      <c r="C29" s="82" t="s">
        <v>7</v>
      </c>
      <c r="D29" s="83">
        <f>8*0.05*0.5</f>
        <v>0.2</v>
      </c>
      <c r="E29" s="82"/>
      <c r="F29" s="84">
        <f t="shared" ref="F29:F32" si="6">E29*$D29</f>
        <v>0</v>
      </c>
      <c r="G29" s="85"/>
    </row>
    <row r="30" spans="1:7" s="34" customFormat="1" ht="73.2" customHeight="1" x14ac:dyDescent="0.3">
      <c r="A30" s="81" t="s">
        <v>109</v>
      </c>
      <c r="B30" s="59" t="s">
        <v>146</v>
      </c>
      <c r="C30" s="82" t="s">
        <v>7</v>
      </c>
      <c r="D30" s="83">
        <f>8*0.4*0.15</f>
        <v>0.48</v>
      </c>
      <c r="E30" s="82"/>
      <c r="F30" s="84">
        <f t="shared" si="6"/>
        <v>0</v>
      </c>
      <c r="G30" s="85"/>
    </row>
    <row r="31" spans="1:7" s="34" customFormat="1" ht="73.2" customHeight="1" x14ac:dyDescent="0.3">
      <c r="A31" s="81"/>
      <c r="B31" s="59" t="s">
        <v>206</v>
      </c>
      <c r="C31" s="82" t="s">
        <v>7</v>
      </c>
      <c r="D31" s="83">
        <f>((0.2*0.2*3.4)*3)+(0.8*0.8*3*0.25)</f>
        <v>0.88800000000000012</v>
      </c>
      <c r="E31" s="82"/>
      <c r="F31" s="84">
        <f t="shared" si="6"/>
        <v>0</v>
      </c>
      <c r="G31" s="85"/>
    </row>
    <row r="32" spans="1:7" s="35" customFormat="1" ht="81" x14ac:dyDescent="0.3">
      <c r="A32" s="81" t="s">
        <v>109</v>
      </c>
      <c r="B32" s="59" t="s">
        <v>145</v>
      </c>
      <c r="C32" s="82" t="s">
        <v>7</v>
      </c>
      <c r="D32" s="83">
        <f>8*0.2*0.2</f>
        <v>0.32000000000000006</v>
      </c>
      <c r="E32" s="82"/>
      <c r="F32" s="84">
        <f t="shared" si="6"/>
        <v>0</v>
      </c>
      <c r="G32" s="86"/>
    </row>
    <row r="33" spans="1:7" s="34" customFormat="1" ht="20.100000000000001" customHeight="1" x14ac:dyDescent="0.3">
      <c r="A33" s="81">
        <v>4</v>
      </c>
      <c r="B33" s="59" t="s">
        <v>142</v>
      </c>
      <c r="C33" s="82"/>
      <c r="D33" s="83"/>
      <c r="E33" s="82"/>
      <c r="F33" s="84"/>
      <c r="G33" s="85"/>
    </row>
    <row r="34" spans="1:7" s="34" customFormat="1" ht="48.6" x14ac:dyDescent="0.3">
      <c r="A34" s="81" t="s">
        <v>109</v>
      </c>
      <c r="B34" s="59" t="s">
        <v>147</v>
      </c>
      <c r="C34" s="82" t="s">
        <v>131</v>
      </c>
      <c r="D34" s="83">
        <f>8*0.4*0.85</f>
        <v>2.72</v>
      </c>
      <c r="E34" s="82"/>
      <c r="F34" s="84">
        <f t="shared" ref="F34:F35" si="7">E34*$D34</f>
        <v>0</v>
      </c>
      <c r="G34" s="85"/>
    </row>
    <row r="35" spans="1:7" s="34" customFormat="1" ht="48.6" x14ac:dyDescent="0.3">
      <c r="A35" s="81" t="s">
        <v>109</v>
      </c>
      <c r="B35" s="59" t="s">
        <v>155</v>
      </c>
      <c r="C35" s="82" t="s">
        <v>2</v>
      </c>
      <c r="D35" s="83">
        <f>8*3.4</f>
        <v>27.2</v>
      </c>
      <c r="E35" s="82"/>
      <c r="F35" s="84">
        <f t="shared" si="7"/>
        <v>0</v>
      </c>
      <c r="G35" s="85"/>
    </row>
    <row r="36" spans="1:7" s="34" customFormat="1" ht="20.100000000000001" customHeight="1" x14ac:dyDescent="0.3">
      <c r="A36" s="81">
        <v>5</v>
      </c>
      <c r="B36" s="59" t="s">
        <v>143</v>
      </c>
      <c r="C36" s="82"/>
      <c r="D36" s="83"/>
      <c r="E36" s="82"/>
      <c r="F36" s="84"/>
      <c r="G36" s="85"/>
    </row>
    <row r="37" spans="1:7" s="35" customFormat="1" ht="49.95" customHeight="1" x14ac:dyDescent="0.3">
      <c r="A37" s="81" t="s">
        <v>109</v>
      </c>
      <c r="B37" s="59" t="s">
        <v>150</v>
      </c>
      <c r="C37" s="82" t="s">
        <v>2</v>
      </c>
      <c r="D37" s="83">
        <f>D35*2</f>
        <v>54.4</v>
      </c>
      <c r="E37" s="82"/>
      <c r="F37" s="84">
        <f t="shared" ref="F37:F38" si="8">E37*$D37</f>
        <v>0</v>
      </c>
      <c r="G37" s="86"/>
    </row>
    <row r="38" spans="1:7" s="34" customFormat="1" ht="45" customHeight="1" x14ac:dyDescent="0.3">
      <c r="A38" s="81" t="s">
        <v>109</v>
      </c>
      <c r="B38" s="59" t="s">
        <v>154</v>
      </c>
      <c r="C38" s="82" t="s">
        <v>7</v>
      </c>
      <c r="D38" s="83">
        <f>D37</f>
        <v>54.4</v>
      </c>
      <c r="E38" s="82"/>
      <c r="F38" s="84">
        <f t="shared" si="8"/>
        <v>0</v>
      </c>
      <c r="G38" s="85"/>
    </row>
    <row r="39" spans="1:7" s="38" customFormat="1" ht="16.8" x14ac:dyDescent="0.45">
      <c r="A39" s="93"/>
      <c r="B39" s="76" t="s">
        <v>152</v>
      </c>
      <c r="C39" s="94"/>
      <c r="D39" s="95"/>
      <c r="E39" s="94"/>
      <c r="F39" s="65">
        <f>SUM(F25:F38)</f>
        <v>0</v>
      </c>
      <c r="G39" s="92"/>
    </row>
    <row r="40" spans="1:7" ht="16.8" x14ac:dyDescent="0.45">
      <c r="A40" s="96" t="s">
        <v>163</v>
      </c>
      <c r="B40" s="76" t="s">
        <v>161</v>
      </c>
      <c r="C40" s="62"/>
      <c r="D40" s="97"/>
      <c r="E40" s="62"/>
      <c r="F40" s="63"/>
      <c r="G40" s="77"/>
    </row>
    <row r="41" spans="1:7" ht="46.2" customHeight="1" x14ac:dyDescent="0.4">
      <c r="A41" s="96">
        <v>1</v>
      </c>
      <c r="B41" s="59" t="s">
        <v>153</v>
      </c>
      <c r="C41" s="62" t="s">
        <v>71</v>
      </c>
      <c r="D41" s="97">
        <f>60*2.5*2</f>
        <v>300</v>
      </c>
      <c r="E41" s="62"/>
      <c r="F41" s="63">
        <f>E41*D41</f>
        <v>0</v>
      </c>
      <c r="G41" s="77"/>
    </row>
    <row r="42" spans="1:7" ht="113.4" x14ac:dyDescent="0.4">
      <c r="A42" s="98">
        <v>2</v>
      </c>
      <c r="B42" s="5" t="s">
        <v>156</v>
      </c>
      <c r="C42" s="62" t="s">
        <v>105</v>
      </c>
      <c r="D42" s="62">
        <v>12</v>
      </c>
      <c r="E42" s="62"/>
      <c r="F42" s="63">
        <f>E42*D42</f>
        <v>0</v>
      </c>
      <c r="G42" s="77"/>
    </row>
    <row r="43" spans="1:7" ht="97.2" x14ac:dyDescent="0.4">
      <c r="A43" s="98">
        <v>3</v>
      </c>
      <c r="B43" s="5" t="s">
        <v>160</v>
      </c>
      <c r="C43" s="62" t="s">
        <v>106</v>
      </c>
      <c r="D43" s="62">
        <v>12</v>
      </c>
      <c r="E43" s="62"/>
      <c r="F43" s="63">
        <f t="shared" ref="F43:F44" si="9">E43*D43</f>
        <v>0</v>
      </c>
      <c r="G43" s="77"/>
    </row>
    <row r="44" spans="1:7" ht="129.6" x14ac:dyDescent="0.4">
      <c r="A44" s="98">
        <v>4</v>
      </c>
      <c r="B44" s="5" t="s">
        <v>107</v>
      </c>
      <c r="C44" s="62" t="s">
        <v>70</v>
      </c>
      <c r="D44" s="62">
        <v>1</v>
      </c>
      <c r="E44" s="62"/>
      <c r="F44" s="63">
        <f t="shared" si="9"/>
        <v>0</v>
      </c>
      <c r="G44" s="77"/>
    </row>
    <row r="45" spans="1:7" s="38" customFormat="1" ht="16.8" x14ac:dyDescent="0.45">
      <c r="A45" s="93"/>
      <c r="B45" s="76" t="s">
        <v>164</v>
      </c>
      <c r="C45" s="94"/>
      <c r="D45" s="95"/>
      <c r="E45" s="94"/>
      <c r="F45" s="65">
        <f>SUM(F41:F44)</f>
        <v>0</v>
      </c>
      <c r="G45" s="92"/>
    </row>
    <row r="46" spans="1:7" ht="16.8" x14ac:dyDescent="0.45">
      <c r="A46" s="93" t="s">
        <v>175</v>
      </c>
      <c r="B46" s="76" t="s">
        <v>173</v>
      </c>
      <c r="C46" s="62"/>
      <c r="D46" s="97"/>
      <c r="E46" s="62"/>
      <c r="F46" s="63"/>
      <c r="G46" s="77"/>
    </row>
    <row r="47" spans="1:7" s="39" customFormat="1" ht="48.6" customHeight="1" x14ac:dyDescent="0.3">
      <c r="A47" s="81">
        <v>1</v>
      </c>
      <c r="B47" s="59" t="s">
        <v>176</v>
      </c>
      <c r="C47" s="82" t="s">
        <v>2</v>
      </c>
      <c r="D47" s="82">
        <f>26*17</f>
        <v>442</v>
      </c>
      <c r="E47" s="82"/>
      <c r="F47" s="84">
        <f t="shared" ref="F47:F48" si="10">E47*$D47</f>
        <v>0</v>
      </c>
      <c r="G47" s="87"/>
    </row>
    <row r="48" spans="1:7" ht="65.400000000000006" customHeight="1" x14ac:dyDescent="0.4">
      <c r="A48" s="96">
        <v>2</v>
      </c>
      <c r="B48" s="99" t="s">
        <v>177</v>
      </c>
      <c r="C48" s="62" t="s">
        <v>62</v>
      </c>
      <c r="D48" s="97">
        <v>3</v>
      </c>
      <c r="E48" s="62"/>
      <c r="F48" s="84">
        <f t="shared" si="10"/>
        <v>0</v>
      </c>
      <c r="G48" s="77"/>
    </row>
    <row r="49" spans="1:7" s="38" customFormat="1" ht="16.8" x14ac:dyDescent="0.45">
      <c r="A49" s="93"/>
      <c r="B49" s="76" t="s">
        <v>174</v>
      </c>
      <c r="C49" s="94"/>
      <c r="D49" s="95"/>
      <c r="E49" s="94"/>
      <c r="F49" s="65">
        <f>SUM(F47:F48)</f>
        <v>0</v>
      </c>
      <c r="G49" s="92"/>
    </row>
    <row r="50" spans="1:7" ht="16.2" x14ac:dyDescent="0.4">
      <c r="A50" s="96" t="s">
        <v>183</v>
      </c>
      <c r="B50" s="58" t="s">
        <v>182</v>
      </c>
      <c r="C50" s="62"/>
      <c r="D50" s="97"/>
      <c r="E50" s="62"/>
      <c r="F50" s="63"/>
      <c r="G50" s="77"/>
    </row>
    <row r="51" spans="1:7" ht="48.6" x14ac:dyDescent="0.4">
      <c r="A51" s="96">
        <v>1</v>
      </c>
      <c r="B51" s="59" t="s">
        <v>229</v>
      </c>
      <c r="C51" s="62" t="s">
        <v>126</v>
      </c>
      <c r="D51" s="97">
        <v>1</v>
      </c>
      <c r="E51" s="62"/>
      <c r="F51" s="63">
        <f>E51*D51</f>
        <v>0</v>
      </c>
      <c r="G51" s="77"/>
    </row>
    <row r="52" spans="1:7" ht="32.4" x14ac:dyDescent="0.4">
      <c r="A52" s="96">
        <v>2</v>
      </c>
      <c r="B52" s="59" t="s">
        <v>179</v>
      </c>
      <c r="C52" s="62" t="s">
        <v>7</v>
      </c>
      <c r="D52" s="97">
        <f>2*1*1*1</f>
        <v>2</v>
      </c>
      <c r="E52" s="62"/>
      <c r="F52" s="63">
        <f t="shared" ref="F52:F58" si="11">E52*D52</f>
        <v>0</v>
      </c>
      <c r="G52" s="77"/>
    </row>
    <row r="53" spans="1:7" ht="16.2" x14ac:dyDescent="0.4">
      <c r="A53" s="96">
        <v>3</v>
      </c>
      <c r="B53" s="59" t="s">
        <v>13</v>
      </c>
      <c r="C53" s="62" t="s">
        <v>7</v>
      </c>
      <c r="D53" s="97">
        <f>D52</f>
        <v>2</v>
      </c>
      <c r="E53" s="62"/>
      <c r="F53" s="63">
        <f t="shared" si="11"/>
        <v>0</v>
      </c>
      <c r="G53" s="77"/>
    </row>
    <row r="54" spans="1:7" ht="32.4" x14ac:dyDescent="0.4">
      <c r="A54" s="96">
        <v>4</v>
      </c>
      <c r="B54" s="59" t="s">
        <v>24</v>
      </c>
      <c r="C54" s="62" t="s">
        <v>7</v>
      </c>
      <c r="D54" s="97">
        <f>2*0.05*1*1</f>
        <v>0.1</v>
      </c>
      <c r="E54" s="62"/>
      <c r="F54" s="63">
        <f t="shared" si="11"/>
        <v>0</v>
      </c>
      <c r="G54" s="77"/>
    </row>
    <row r="55" spans="1:7" ht="48.6" x14ac:dyDescent="0.4">
      <c r="A55" s="96">
        <v>5</v>
      </c>
      <c r="B55" s="59" t="s">
        <v>180</v>
      </c>
      <c r="C55" s="62" t="s">
        <v>7</v>
      </c>
      <c r="D55" s="97">
        <f>2*0.25*1*1</f>
        <v>0.5</v>
      </c>
      <c r="E55" s="62"/>
      <c r="F55" s="63">
        <f t="shared" si="11"/>
        <v>0</v>
      </c>
      <c r="G55" s="77"/>
    </row>
    <row r="56" spans="1:7" ht="48.6" x14ac:dyDescent="0.4">
      <c r="A56" s="96">
        <v>6</v>
      </c>
      <c r="B56" s="59" t="s">
        <v>181</v>
      </c>
      <c r="C56" s="62" t="s">
        <v>7</v>
      </c>
      <c r="D56" s="97">
        <f>2*2.5*0.4*0.4</f>
        <v>0.8</v>
      </c>
      <c r="E56" s="62"/>
      <c r="F56" s="63">
        <f t="shared" si="11"/>
        <v>0</v>
      </c>
      <c r="G56" s="77"/>
    </row>
    <row r="57" spans="1:7" ht="81" customHeight="1" x14ac:dyDescent="0.4">
      <c r="A57" s="96">
        <v>7</v>
      </c>
      <c r="B57" s="100" t="s">
        <v>213</v>
      </c>
      <c r="C57" s="62" t="s">
        <v>62</v>
      </c>
      <c r="D57" s="97">
        <v>1</v>
      </c>
      <c r="E57" s="62"/>
      <c r="F57" s="63">
        <f t="shared" si="11"/>
        <v>0</v>
      </c>
      <c r="G57" s="101" t="s">
        <v>109</v>
      </c>
    </row>
    <row r="58" spans="1:7" ht="48.6" x14ac:dyDescent="0.4">
      <c r="A58" s="96">
        <v>8</v>
      </c>
      <c r="B58" s="99" t="s">
        <v>178</v>
      </c>
      <c r="C58" s="62" t="s">
        <v>62</v>
      </c>
      <c r="D58" s="97">
        <v>1</v>
      </c>
      <c r="E58" s="62"/>
      <c r="F58" s="63">
        <f t="shared" si="11"/>
        <v>0</v>
      </c>
      <c r="G58" s="77"/>
    </row>
    <row r="59" spans="1:7" ht="16.8" x14ac:dyDescent="0.45">
      <c r="A59" s="93"/>
      <c r="B59" s="76" t="s">
        <v>184</v>
      </c>
      <c r="C59" s="94"/>
      <c r="D59" s="95"/>
      <c r="E59" s="94"/>
      <c r="F59" s="65">
        <f>SUM(F51:F58)</f>
        <v>0</v>
      </c>
      <c r="G59" s="77"/>
    </row>
    <row r="60" spans="1:7" ht="16.8" x14ac:dyDescent="0.45">
      <c r="A60" s="93"/>
      <c r="B60" s="76" t="s">
        <v>185</v>
      </c>
      <c r="C60" s="94"/>
      <c r="D60" s="95"/>
      <c r="E60" s="94"/>
      <c r="F60" s="65">
        <f>F59+F49+F45+F39+F22</f>
        <v>0</v>
      </c>
      <c r="G60" s="77"/>
    </row>
  </sheetData>
  <mergeCells count="4">
    <mergeCell ref="A1:F1"/>
    <mergeCell ref="A2:F2"/>
    <mergeCell ref="A3:F3"/>
    <mergeCell ref="A4:F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Bill nr 1-Intensive care unit</vt:lpstr>
      <vt:lpstr>Bill nr 2-outpateint department</vt:lpstr>
      <vt:lpstr>Bill nr 3-Dialysis ward</vt:lpstr>
      <vt:lpstr>Bill nr 4-blood bank ward</vt:lpstr>
      <vt:lpstr>Bill nr 5-Hospital canteen</vt:lpstr>
      <vt:lpstr>Bill nr 6-Mortuary room</vt:lpstr>
      <vt:lpstr>Bill nr 7-Rehabilitation works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Iftin Hassan</dc:creator>
  <cp:lastModifiedBy>Iftin Mohamed Hassan</cp:lastModifiedBy>
  <dcterms:created xsi:type="dcterms:W3CDTF">2024-02-26T19:09:18Z</dcterms:created>
  <dcterms:modified xsi:type="dcterms:W3CDTF">2024-04-07T07:08:16Z</dcterms:modified>
</cp:coreProperties>
</file>