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https://nisfoundation-my.sharepoint.com/personal/eng12_somalia_nis-foundation_org/Documents/Documents/EU Projects/RNS PROJECTS/Bulogadud boreholes/Final/"/>
    </mc:Choice>
  </mc:AlternateContent>
  <xr:revisionPtr revIDLastSave="0" documentId="8_{B9A0D19B-132C-4632-94B8-93D0747660B5}" xr6:coauthVersionLast="47" xr6:coauthVersionMax="47" xr10:uidLastSave="{00000000-0000-0000-0000-000000000000}"/>
  <bookViews>
    <workbookView xWindow="-108" yWindow="-108" windowWidth="23256" windowHeight="12456" xr2:uid="{8AF56340-132B-2245-9DA7-492527F8C564}"/>
  </bookViews>
  <sheets>
    <sheet name="NIS-BoQs"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a">#REF!</definedName>
    <definedName name="\b">#REF!</definedName>
    <definedName name="\c">#REF!</definedName>
    <definedName name="_A65537" localSheetId="0">#REF!</definedName>
    <definedName name="_A65537">#REF!</definedName>
    <definedName name="_A65777" localSheetId="0">#REF!</definedName>
    <definedName name="_A65777">#REF!</definedName>
    <definedName name="a">#REF!</definedName>
    <definedName name="account_names">'[1]chart of accounts'!$B$3:$B$116</definedName>
    <definedName name="ADK" localSheetId="0">#REF!</definedName>
    <definedName name="ADK">#REF!</definedName>
    <definedName name="Allowances" localSheetId="0">#REF!</definedName>
    <definedName name="Allowances">#REF!</definedName>
    <definedName name="Allowances1" localSheetId="0">#REF!</definedName>
    <definedName name="Allowances1">#REF!</definedName>
    <definedName name="b">#REF!</definedName>
    <definedName name="bargroup1" localSheetId="0" hidden="1">OR(#REF!=20,#REF!=32,#REF!=33,#REF!=34,#REF!=35,#REF!=99)</definedName>
    <definedName name="bargroup1" hidden="1">OR(#REF!=20,#REF!=32,#REF!=33,#REF!=34,#REF!=35,#REF!=99)</definedName>
    <definedName name="bargroup2" localSheetId="0" hidden="1">OR(#REF!=37,#REF!=61,#REF!=82,#REF!=77,#REF!=79)</definedName>
    <definedName name="bargroup2" hidden="1">OR(#REF!=37,#REF!=61,#REF!=82,#REF!=77,#REF!=79)</definedName>
    <definedName name="bargroup3" localSheetId="0" hidden="1">OR(#REF!=38,#REF!=62,#REF!=39,#REF!=54,#REF!=78,#REF!=87)</definedName>
    <definedName name="bargroup3" hidden="1">OR(#REF!=38,#REF!=62,#REF!=39,#REF!=54,#REF!=78,#REF!=87)</definedName>
    <definedName name="bargroup4" localSheetId="0" hidden="1">OR(#REF!=41,#REF!=42,#REF!=45,#REF!=52,#REF!=85)</definedName>
    <definedName name="bargroup4" hidden="1">OR(#REF!=41,#REF!=42,#REF!=45,#REF!=52,#REF!=85)</definedName>
    <definedName name="bargroup5" localSheetId="0" hidden="1">OR(#REF!=43,#REF!=49,#REF!=53,#REF!=55)</definedName>
    <definedName name="bargroup5" hidden="1">OR(#REF!=43,#REF!=49,#REF!=53,#REF!=55)</definedName>
    <definedName name="bargroup6" hidden="1">#REF!=65</definedName>
    <definedName name="bargroup7" hidden="1">#REF!=51</definedName>
    <definedName name="BB">'[2]BOQ - Civils'!#REF!</definedName>
    <definedName name="Client">#REF!</definedName>
    <definedName name="_xlnm.Criteria">'[3]raw bq'!#REF!</definedName>
    <definedName name="d">#REF!</definedName>
    <definedName name="Date">#REF!</definedName>
    <definedName name="dd">'[4]BOQ - Civils'!#REF!</definedName>
    <definedName name="DDDD">#N/A</definedName>
    <definedName name="dhjfjhjufh">'[2]BOQ - Civils'!#REF!</definedName>
    <definedName name="DME_BeforeCloseCompleted_NRC_20579_2_.xls" hidden="1">"False"</definedName>
    <definedName name="DME_BeforeCloseCompleted_NRC_58752_4_.xls" hidden="1">"False"</definedName>
    <definedName name="DME_Dirty" hidden="1">"True"</definedName>
    <definedName name="DME_Dirty_NRC_20579_2_.xls" hidden="1">"True"</definedName>
    <definedName name="DME_Dirty_NRC_58752_4_.xls" hidden="1">"True"</definedName>
    <definedName name="DME_DocumentFlags" hidden="1">"1"</definedName>
    <definedName name="DME_DocumentFlags_NRC_20579_2_.xls" hidden="1">"1"</definedName>
    <definedName name="DME_DocumentFlags_NRC_58752_4_.xls" hidden="1">"1"</definedName>
    <definedName name="DME_DocumentID" hidden="1">"::ODMA\DME-MSE\NRC-20579"</definedName>
    <definedName name="DME_DocumentID_NRC_20579_2_.xls" hidden="1">"::ODMA\DME-MSE\NRC-20579"</definedName>
    <definedName name="DME_DocumentID_NRC_58752_4_.xls" hidden="1">"::ODMA\DME-MSE\NRC-58752"</definedName>
    <definedName name="DME_DocumentOpened" hidden="1">"True"</definedName>
    <definedName name="DME_DocumentOpened_NRC_20579_2_.xls" hidden="1">"True"</definedName>
    <definedName name="DME_DocumentOpened_NRC_58752_4_.xls" hidden="1">"True"</definedName>
    <definedName name="DME_DocumentTitle" hidden="1">"NRC-20579 - P-info Budgeting Template"</definedName>
    <definedName name="DME_DocumentTitle_NRC_20579_2_.xls" hidden="1">"NRC-20579 - P-info Budgeting Template"</definedName>
    <definedName name="DME_DocumentTitle_NRC_58752_4_.xls" hidden="1">"NRC-58752 - P-info Budgeting Template ECHO"</definedName>
    <definedName name="DME_LocalFile" hidden="1">"False"</definedName>
    <definedName name="DME_LocalFile_NRC_20579_2_.xls" hidden="1">"False"</definedName>
    <definedName name="DME_LocalFile_NRC_58752_4_.xls" hidden="1">"False"</definedName>
    <definedName name="DME_NextWindowNumber" hidden="1">"2"</definedName>
    <definedName name="DME_NextWindowNumber_NRC_20579_2_.xls" hidden="1">"2"</definedName>
    <definedName name="DME_NextWindowNumber_NRC_58752_4_.xls" hidden="1">"2"</definedName>
    <definedName name="DME_ODMALinks1" hidden="1">"::ODMA\DME-MSE\NRC-61199=M:\DOCUME~1\IRGJ@1~1\LOCALS~1\Temp\13\Dme\NRC-61199.xls"</definedName>
    <definedName name="DME_ODMALinksCount" hidden="1">"1"</definedName>
    <definedName name="Doc_No">#REF!</definedName>
    <definedName name="DS" localSheetId="0">#REF!</definedName>
    <definedName name="DS">#REF!</definedName>
    <definedName name="e">#REF!</definedName>
    <definedName name="FF" localSheetId="0">'[5]National Staff payroll'!#REF!</definedName>
    <definedName name="FF">'[5]National Staff payroll'!#REF!</definedName>
    <definedName name="FU" localSheetId="0">'[5]National Staff payroll'!#REF!</definedName>
    <definedName name="FU">'[5]National Staff payroll'!#REF!</definedName>
    <definedName name="G">#REF!</definedName>
    <definedName name="Gantry_Line_Size">#REF!</definedName>
    <definedName name="hh">#REF!</definedName>
    <definedName name="HMI">#REF!</definedName>
    <definedName name="Increment" localSheetId="0">'[5]National Staff payroll'!#REF!</definedName>
    <definedName name="Increment">'[5]National Staff payroll'!#REF!</definedName>
    <definedName name="Inflation">'[6]Pact Inc. Budget'!$J$2</definedName>
    <definedName name="jhv">'[7]BOQ - Civils'!#REF!</definedName>
    <definedName name="JJ">'[2]BOQ - Civils'!#REF!</definedName>
    <definedName name="jnn">#REF!</definedName>
    <definedName name="job.no" hidden="1">#REF!</definedName>
    <definedName name="KITCHEN">#REF!</definedName>
    <definedName name="kk">'[7]BOQ - Civils'!#REF!</definedName>
    <definedName name="ok">#REF!</definedName>
    <definedName name="phase1">'[8]BOQ - Civils'!#REF!</definedName>
    <definedName name="PLUMBING">#REF!</definedName>
    <definedName name="prepared.by" hidden="1">#REF!</definedName>
    <definedName name="_xlnm.Print_Area" localSheetId="0">'NIS-BoQs'!$A$1:$F$194</definedName>
    <definedName name="Print_Area_MI" localSheetId="0">#REF!</definedName>
    <definedName name="Print_Area_MI">#REF!</definedName>
    <definedName name="Print_Area_MI_1" localSheetId="0">#REF!</definedName>
    <definedName name="Print_Area_MI_1">#REF!</definedName>
    <definedName name="Print_Area_MI_3" localSheetId="0">#REF!</definedName>
    <definedName name="Print_Area_MI_3">#REF!</definedName>
    <definedName name="_xlnm.Print_Titles" localSheetId="0">'NIS-BoQs'!#REF!</definedName>
    <definedName name="Project">#REF!</definedName>
    <definedName name="Project_No">#REF!</definedName>
    <definedName name="range" localSheetId="0" hidden="1">#REF!</definedName>
    <definedName name="range" hidden="1">#REF!</definedName>
    <definedName name="rr">'[8]BOQ - Civils'!#REF!</definedName>
    <definedName name="schedule.nos" hidden="1">#REF!</definedName>
    <definedName name="shape.codes" hidden="1">#REF!</definedName>
    <definedName name="site.ref" hidden="1">#REF!</definedName>
    <definedName name="Solar">#REF!</definedName>
    <definedName name="ss">'[4]BOQ - Civils'!#REF!</definedName>
    <definedName name="svd">'[2]BOQ - Civils'!#REF!</definedName>
    <definedName name="t">'[8]BOQ - Civils'!#REF!</definedName>
    <definedName name="TG">'[7]BOQ - Civils'!#REF!</definedName>
    <definedName name="TK_Inlet_Line_Size">#REF!</definedName>
    <definedName name="vv">'[8]BOQ - Civils'!#REF!</definedName>
    <definedName name="W">#REF!</definedName>
    <definedName name="XX">'[2]BOQ - Civils'!#REF!</definedName>
    <definedName name="YH" localSheetId="0">'[5]National Staff payroll'!#REF!</definedName>
    <definedName name="YH">'[5]National Staff payroll'!#REF!</definedName>
    <definedName name="Z_70AE6EEF_728F_4937_9967_754A20797C6A_.wvu.PrintArea" localSheetId="0">[9]Summary!$B$1:$J$31</definedName>
    <definedName name="Z_70AE6EEF_728F_4937_9967_754A20797C6A_.wvu.PrintArea">[9]Summary!$B$1:$J$31</definedName>
    <definedName name="Z_70AE6EEF_728F_4937_9967_754A20797C6A_.wvu.PrintTitles" localSheetId="0">[9]Summary!$B$6:$J$6</definedName>
    <definedName name="Z_70AE6EEF_728F_4937_9967_754A20797C6A_.wvu.PrintTitles">[9]Summary!$B$6:$J$6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9" i="1" l="1"/>
  <c r="F168" i="1"/>
  <c r="C167" i="1"/>
  <c r="F167" i="1" s="1"/>
  <c r="F166" i="1"/>
  <c r="C166" i="1"/>
  <c r="C165" i="1"/>
  <c r="F165" i="1" s="1"/>
  <c r="F164" i="1"/>
  <c r="C163" i="1"/>
  <c r="F163" i="1" s="1"/>
  <c r="C162" i="1"/>
  <c r="F162" i="1" s="1"/>
  <c r="F161" i="1"/>
  <c r="F155" i="1"/>
  <c r="F156" i="1" s="1"/>
  <c r="F151" i="1"/>
  <c r="C150" i="1"/>
  <c r="F150" i="1" s="1"/>
  <c r="C149" i="1"/>
  <c r="F149" i="1" s="1"/>
  <c r="C145" i="1"/>
  <c r="F145" i="1" s="1"/>
  <c r="F144" i="1"/>
  <c r="F137" i="1"/>
  <c r="F136" i="1"/>
  <c r="F135" i="1"/>
  <c r="C131" i="1"/>
  <c r="F131" i="1" s="1"/>
  <c r="C130" i="1"/>
  <c r="F130" i="1" s="1"/>
  <c r="C129" i="1"/>
  <c r="C142" i="1" s="1"/>
  <c r="C128" i="1"/>
  <c r="F128" i="1" s="1"/>
  <c r="C124" i="1"/>
  <c r="F124" i="1" s="1"/>
  <c r="C123" i="1"/>
  <c r="F123" i="1" s="1"/>
  <c r="C122" i="1"/>
  <c r="F122" i="1" s="1"/>
  <c r="C121" i="1"/>
  <c r="F121" i="1" s="1"/>
  <c r="C120" i="1"/>
  <c r="F120" i="1" s="1"/>
  <c r="C119" i="1"/>
  <c r="F119" i="1" s="1"/>
  <c r="C118" i="1"/>
  <c r="F118" i="1" s="1"/>
  <c r="C117" i="1"/>
  <c r="F117" i="1" s="1"/>
  <c r="C116" i="1"/>
  <c r="F116" i="1" s="1"/>
  <c r="C112" i="1"/>
  <c r="F112" i="1" s="1"/>
  <c r="C111" i="1"/>
  <c r="F111" i="1" s="1"/>
  <c r="C110" i="1"/>
  <c r="F110" i="1" s="1"/>
  <c r="F113" i="1" s="1"/>
  <c r="F104" i="1"/>
  <c r="F103" i="1"/>
  <c r="C102" i="1"/>
  <c r="F102" i="1" s="1"/>
  <c r="F101" i="1"/>
  <c r="F100" i="1"/>
  <c r="C99" i="1"/>
  <c r="F99" i="1" s="1"/>
  <c r="C98" i="1"/>
  <c r="F98" i="1" s="1"/>
  <c r="C97" i="1"/>
  <c r="F97" i="1" s="1"/>
  <c r="F90" i="1"/>
  <c r="F89" i="1"/>
  <c r="C88" i="1"/>
  <c r="F88" i="1" s="1"/>
  <c r="C87" i="1"/>
  <c r="F87" i="1" s="1"/>
  <c r="F85" i="1"/>
  <c r="F84" i="1"/>
  <c r="F83" i="1"/>
  <c r="C82" i="1"/>
  <c r="F82" i="1" s="1"/>
  <c r="F75" i="1"/>
  <c r="F74" i="1"/>
  <c r="F73" i="1"/>
  <c r="F72" i="1"/>
  <c r="F71" i="1"/>
  <c r="C67" i="1"/>
  <c r="F67" i="1" s="1"/>
  <c r="C66" i="1"/>
  <c r="F66" i="1" s="1"/>
  <c r="C65" i="1"/>
  <c r="F65" i="1" s="1"/>
  <c r="C64" i="1"/>
  <c r="F64" i="1" s="1"/>
  <c r="C63" i="1"/>
  <c r="F63" i="1" s="1"/>
  <c r="C62" i="1"/>
  <c r="F62" i="1" s="1"/>
  <c r="C61" i="1"/>
  <c r="F61" i="1" s="1"/>
  <c r="C60" i="1"/>
  <c r="F60" i="1" s="1"/>
  <c r="C59" i="1"/>
  <c r="F59" i="1" s="1"/>
  <c r="C58" i="1"/>
  <c r="F58" i="1" s="1"/>
  <c r="C57" i="1"/>
  <c r="F57" i="1" s="1"/>
  <c r="C53" i="1"/>
  <c r="F53" i="1" s="1"/>
  <c r="C52" i="1"/>
  <c r="F52" i="1" s="1"/>
  <c r="C51" i="1"/>
  <c r="F51" i="1" s="1"/>
  <c r="F44" i="1"/>
  <c r="F43" i="1"/>
  <c r="F42" i="1"/>
  <c r="F41" i="1"/>
  <c r="F40" i="1"/>
  <c r="C36" i="1"/>
  <c r="F36" i="1" s="1"/>
  <c r="C35" i="1"/>
  <c r="F35" i="1" s="1"/>
  <c r="C34" i="1"/>
  <c r="F34" i="1" s="1"/>
  <c r="C33" i="1"/>
  <c r="F33" i="1" s="1"/>
  <c r="C32" i="1"/>
  <c r="F32" i="1" s="1"/>
  <c r="C31" i="1"/>
  <c r="F31" i="1" s="1"/>
  <c r="C30" i="1"/>
  <c r="F30" i="1" s="1"/>
  <c r="C29" i="1"/>
  <c r="F29" i="1" s="1"/>
  <c r="C28" i="1"/>
  <c r="F28" i="1" s="1"/>
  <c r="C27" i="1"/>
  <c r="F27" i="1" s="1"/>
  <c r="C23" i="1"/>
  <c r="F23" i="1" s="1"/>
  <c r="C22" i="1"/>
  <c r="F22" i="1" s="1"/>
  <c r="C21" i="1"/>
  <c r="F21" i="1" s="1"/>
  <c r="F16" i="1"/>
  <c r="F15" i="1"/>
  <c r="F14" i="1"/>
  <c r="F13" i="1"/>
  <c r="F12" i="1"/>
  <c r="F11" i="1"/>
  <c r="F10" i="1"/>
  <c r="F9" i="1"/>
  <c r="F8" i="1"/>
  <c r="F7" i="1"/>
  <c r="F6" i="1"/>
  <c r="F5" i="1"/>
  <c r="F138" i="1" l="1"/>
  <c r="F54" i="1"/>
  <c r="F76" i="1"/>
  <c r="F17" i="1"/>
  <c r="F192" i="1" s="1"/>
  <c r="F152" i="1"/>
  <c r="F24" i="1"/>
  <c r="F45" i="1"/>
  <c r="F125" i="1"/>
  <c r="F68" i="1"/>
  <c r="F37" i="1"/>
  <c r="F91" i="1"/>
  <c r="F92" i="1" s="1"/>
  <c r="F178" i="1" s="1"/>
  <c r="F105" i="1"/>
  <c r="F180" i="1" s="1"/>
  <c r="F142" i="1"/>
  <c r="C143" i="1"/>
  <c r="F143" i="1" s="1"/>
  <c r="F170" i="1"/>
  <c r="F184" i="1" s="1"/>
  <c r="F129" i="1"/>
  <c r="F132" i="1" s="1"/>
  <c r="F77" i="1" l="1"/>
  <c r="F176" i="1" s="1"/>
  <c r="F46" i="1"/>
  <c r="F174" i="1" s="1"/>
  <c r="F146" i="1"/>
  <c r="F157" i="1" s="1"/>
  <c r="F182" i="1" s="1"/>
  <c r="F186" i="1" l="1"/>
  <c r="F190" i="1" s="1"/>
  <c r="F194" i="1" s="1"/>
</calcChain>
</file>

<file path=xl/sharedStrings.xml><?xml version="1.0" encoding="utf-8"?>
<sst xmlns="http://schemas.openxmlformats.org/spreadsheetml/2006/main" count="311" uniqueCount="167">
  <si>
    <t>Bills of quantities for Bulogadud water wells Rehabilitation</t>
  </si>
  <si>
    <t>BoQ for the Provision and Installation of Solar Water Pumping System in Bulagadud Shallow Well, in Jubaland State of Somalia</t>
  </si>
  <si>
    <t>Item No.</t>
  </si>
  <si>
    <t>Description of items</t>
  </si>
  <si>
    <t>Unit</t>
  </si>
  <si>
    <t>Qty</t>
  </si>
  <si>
    <t>Unit Price (USD)</t>
  </si>
  <si>
    <t>Total Price (USD)</t>
  </si>
  <si>
    <r>
      <rPr>
        <b/>
        <sz val="11"/>
        <color rgb="FF000000"/>
        <rFont val="Calibri Light"/>
        <family val="2"/>
      </rPr>
      <t>General Note:</t>
    </r>
    <r>
      <rPr>
        <sz val="11"/>
        <color rgb="FF000000"/>
        <rFont val="Calibri Light"/>
        <family val="2"/>
      </rPr>
      <t xml:space="preserve"> The setup consists of two shallow wells, each will be equipped with its own pump. These pumps will be powered by a shared solar PV system, capable of running one pump at a time. Typically, one well will be operational, with the other serving as a backup in case the water level in the active well decreases. However, when using a generator, both shallow well pumps can operate simultaneously, allowing water to be discharged from both wells concurrently.</t>
    </r>
  </si>
  <si>
    <t>Supply and installation of tier-1 Mono type PV panels 8000 watts. The supplier should mention the panel size, and the number of total panels with clear connection plan (number of series and parallel)</t>
  </si>
  <si>
    <t>Watts</t>
  </si>
  <si>
    <t xml:space="preserve">Supply and installation of submersible ac pump suitable for pumping water from a depth of 20M with a horizontal distance of almost 2KM. The input power should be 4kW to 5.5kW AC, 3Phase 380V 50Hz, with an output of at least 10 cubic meters per hour. It should be stainless steel. The pump should be complete with motor and pump, and all flanges, reducers etc 
Please add pipes for the section side (up to the shallow well opening) the cost should include all fitting and plumbing works.
</t>
  </si>
  <si>
    <t>Supply and installation AC controller for the pump, suitable for the pump above with an outdoor installation capability. The recommended controller should have an input power of 5.5kW and above.</t>
  </si>
  <si>
    <t>Pc</t>
  </si>
  <si>
    <t>Supply and installation of aluminium ground mounting structure with the lower side not to be less than 1.5M. The cost should include concrete footings of 400mmx400mm, with a depth of 600mm below the ground and 400mm above the ground.</t>
  </si>
  <si>
    <t>Set</t>
  </si>
  <si>
    <t>Supply and installation of AC cable 4x10mm for the pump</t>
  </si>
  <si>
    <t>M</t>
  </si>
  <si>
    <t>Supply and installation of DC cable 1x6mm, black and red.</t>
  </si>
  <si>
    <t>Provide and install DC and AC protection, complete with all installation sundries</t>
  </si>
  <si>
    <t>Lsm</t>
  </si>
  <si>
    <t xml:space="preserve">Provide and install Manual Change Over switch </t>
  </si>
  <si>
    <t>Provide Supply 55 kVA Perkins/Cummins or any other approved brand by NIS Electrical Engineer. The cost should include the cable, control panel and protection device and exhaust tube.</t>
  </si>
  <si>
    <t>Supply automatic generator controller for the pump and generator</t>
  </si>
  <si>
    <r>
      <t xml:space="preserve">Installation, testing and commissioning of the complete system. The cost should include training of local technicians and </t>
    </r>
    <r>
      <rPr>
        <b/>
        <sz val="11"/>
        <color rgb="FF000000"/>
        <rFont val="Calibri Light"/>
        <family val="2"/>
      </rPr>
      <t>warranty of man-power for 2 years</t>
    </r>
    <r>
      <rPr>
        <sz val="11"/>
        <color rgb="FF000000"/>
        <rFont val="Calibri Light"/>
        <family val="2"/>
      </rPr>
      <t>. The warranty of the items should be as per the manufacturers warranty terms. The supplier should provide all datasheets if requested by NIS Electrical Engineer.</t>
    </r>
  </si>
  <si>
    <t xml:space="preserve">Transportation charges of all the items to Bulagadud, Kismayo. The cost should include storage of the items, and guarantee during transportation against damage and loss. </t>
  </si>
  <si>
    <t>Grand Total in US Dollars</t>
  </si>
  <si>
    <t xml:space="preserve">A. Construction of camel animal trough 6.65mx1.5m </t>
  </si>
  <si>
    <t>Niss BOQ</t>
  </si>
  <si>
    <t>Item</t>
  </si>
  <si>
    <t>Description</t>
  </si>
  <si>
    <t>Quantity</t>
  </si>
  <si>
    <t xml:space="preserve">Unit </t>
  </si>
  <si>
    <t>Rate in USD</t>
  </si>
  <si>
    <t>Amount in USD</t>
  </si>
  <si>
    <t xml:space="preserve">Site clearance and excavation works </t>
  </si>
  <si>
    <t>Site clearance: leveling and clear unnecessary materials</t>
  </si>
  <si>
    <t>SM</t>
  </si>
  <si>
    <r>
      <t xml:space="preserve">Excavate foundation trench of 600mm thick and  a depth of 1200mm below the ground level </t>
    </r>
    <r>
      <rPr>
        <sz val="12"/>
        <rFont val="Aptos Narrow"/>
        <family val="2"/>
        <scheme val="minor"/>
      </rPr>
      <t>(17.8*0.6*1.2)</t>
    </r>
    <r>
      <rPr>
        <sz val="12"/>
        <color theme="1"/>
        <rFont val="Aptos Narrow"/>
        <family val="2"/>
        <scheme val="minor"/>
      </rPr>
      <t xml:space="preserve"> for animal trough foundation base</t>
    </r>
  </si>
  <si>
    <t>CM</t>
  </si>
  <si>
    <t>Excavate 100mm deep foundation base below the ground level (32.3*2*0.1) for animal trough apron base</t>
  </si>
  <si>
    <t>Subtotal for clearing and excavations</t>
  </si>
  <si>
    <t>Construction works</t>
  </si>
  <si>
    <t xml:space="preserve">Mass concrete of 50mm thick blinding layer (1:2:4 mix) under the trough foundation </t>
  </si>
  <si>
    <t>RCC Strip footing for the foundation of trough (0.4mx0.2m)  with 4No. of  Y12 bars &amp; R8 links @ 200 mm c/c. including reinfocement bars and formwork</t>
  </si>
  <si>
    <t>RCC wall starting from the strip fooing  of (17.8mx0.2m)  with   Y10 bars &amp; R8 links @ 200 mm c/c. including reinfocement bars and formwork</t>
  </si>
  <si>
    <t>Return and backfill 300mm  internal plinth area with murrum sand and compacted hard core</t>
  </si>
  <si>
    <t xml:space="preserve">Mass concrete of 50mm thick blinding layer (1:2:4 mix) under the ground slab </t>
  </si>
  <si>
    <t xml:space="preserve"> 100mm ground slab with BRC mesh floor concrete for the trough inside floor</t>
  </si>
  <si>
    <t>plaster external and internal walls with 1:3 C/S mortor to 10mm thick wall plaster with glue inside-out</t>
  </si>
  <si>
    <t>Laying 100mm with BRC mesh floor concrete for the trough outer apron, 5cm below and 5cm above to protect the trough.</t>
  </si>
  <si>
    <t>Finish the floor of apron with  1:4 C/S mortor to 10mm thick wall plasterand slope to outwards</t>
  </si>
  <si>
    <t>Paint the external walls with two coats of a mix of good lime and white glue</t>
  </si>
  <si>
    <t>Subtotal for Construction and finishing works</t>
  </si>
  <si>
    <t>Plumbing and pipe accessories</t>
  </si>
  <si>
    <t>Excavate 60m long trench with average depth of 400mm into the rock from the elevated water tank to the water point. Include the price backfilling works after pipe placement.</t>
  </si>
  <si>
    <t>LM</t>
  </si>
  <si>
    <t>Supply and install PVC pressure pipe with 2" diameter to extend water from the elevated water tank to the animal trough</t>
  </si>
  <si>
    <t>Allow lumpsum for the supply and installations of pipe fittings like: elbows, nipples, reducers, unions, adopters and gate valves</t>
  </si>
  <si>
    <t>Ls</t>
  </si>
  <si>
    <t>50mm diameter PVC draw off pipe 300mm long with including gate valve</t>
  </si>
  <si>
    <t>item</t>
  </si>
  <si>
    <t>Supply and fix galvanized mild steel pipes class "B" medium thickness to and buildt to the trough wall to use inlet pipes inclding all fittings</t>
  </si>
  <si>
    <t>Subtotal for Plumbing and pipe accessories</t>
  </si>
  <si>
    <t>TOTAL COST FOR BULOGADUD ANIMAL TROUGH (CAMEL)</t>
  </si>
  <si>
    <t>A. Construction of Goats/Cattle animal trough 6.30mx1.45m</t>
  </si>
  <si>
    <r>
      <t xml:space="preserve">Excavate foundation trench of 600mm thick and  a depth of 1200mm below the ground level </t>
    </r>
    <r>
      <rPr>
        <sz val="12"/>
        <rFont val="Aptos Narrow"/>
        <family val="2"/>
        <scheme val="minor"/>
      </rPr>
      <t>(14.6*0.6*1.2)</t>
    </r>
    <r>
      <rPr>
        <sz val="12"/>
        <color theme="1"/>
        <rFont val="Aptos Narrow"/>
        <family val="2"/>
        <scheme val="minor"/>
      </rPr>
      <t xml:space="preserve"> for animal trough foundation base</t>
    </r>
  </si>
  <si>
    <t>Excavate 100mm deep foundation base below the ground level (31.5*2*0.1) for animal trough apron base</t>
  </si>
  <si>
    <t>RCC wall starting from the strip footing  of (17.8mx0.2m)  with   Y10 bars &amp; R8 links @ 200 mm c/c. including reinfocement bars and formwork</t>
  </si>
  <si>
    <t xml:space="preserve">Retaurn and backfill 300mm  internal plinth area with murrum and compacted hardcore </t>
  </si>
  <si>
    <t>Construction of 200mm block walls jointedand bedded with cement/sand mortar at ratio of 1:3, block size  (0.2mx0.2mx0.4m)</t>
  </si>
  <si>
    <t>Plaster external and internal walls with 1:3 C/S mortor to 10mm thick wall plaster with glue inside-out</t>
  </si>
  <si>
    <t>TOTAL COST FOR BULOGADUD ANIMAL TROUGH (GOATS/Cattle)</t>
  </si>
  <si>
    <t>C. Rehabilitation of water kiosks and Construction of inspection Chambers</t>
  </si>
  <si>
    <t>Amount inUSD</t>
  </si>
  <si>
    <t>Repair the wall cracks with cement sand plaster</t>
  </si>
  <si>
    <t>Replace the branching pipes with new 3/4" galvanized GI pipes on both sides of the kiosk</t>
  </si>
  <si>
    <t>Excavate 20m long trench with average depth of 400mm into the soil from the elevated water tank to the water kiosk. Include the price backfilling works after pipe placement.</t>
  </si>
  <si>
    <t>Supply and install PVC pressure pipe with 1" diameter to extend water from the elevated water tank to the water kisoks</t>
  </si>
  <si>
    <t>Soak away pit</t>
  </si>
  <si>
    <t xml:space="preserve">Excavate (1000mm Diameter and 1500mm depth) soak pit, </t>
  </si>
  <si>
    <t>Fill with granular material with high absorption capacity.</t>
  </si>
  <si>
    <t>Apply the kiosk structure with one coat of lime white wash and two coats of first quality emulsion paint</t>
  </si>
  <si>
    <t>1150mm dia 75mm thick (1:2:4) soak pit cover slab.</t>
  </si>
  <si>
    <t>Subtotal for the rehab of 1 kiosk</t>
  </si>
  <si>
    <t>Total cost for the Rehabilitation of 4 water kiosks</t>
  </si>
  <si>
    <t>D. Rehabilitation of two elevated water tanks E.W.T</t>
  </si>
  <si>
    <t>Rehabilitate of the existing elevated water tank structure by repairing the cracks of the columns, beams, base/top slabs and ground base slab</t>
  </si>
  <si>
    <t>Plaster the internal water tank area with 100mm thick plaster with water proof additities like white glue</t>
  </si>
  <si>
    <t xml:space="preserve"> Replace in and outlet  GI pipes with new pipes and including jointing, fittings and gate valves
</t>
  </si>
  <si>
    <t>Repalce the existing  Steel ladder with newley fabricated with anti rust paintings  as well</t>
  </si>
  <si>
    <t>Pinting of all plastered areas with 2 coats of premier and 2 coats of offwhite color.</t>
  </si>
  <si>
    <t>Disinfaction and chlorination on inside the elevated water tanks</t>
  </si>
  <si>
    <t>600x600x6mm heavy gauge steel primed metal manhole cover on slab including angular metal framing around the slab openings</t>
  </si>
  <si>
    <t>Total cost for the rehabilitation of two elevated water tanks</t>
  </si>
  <si>
    <t>E. Construction of Generator and caretaker rooms</t>
  </si>
  <si>
    <t>Clear site off all Loose soil including small trees, scrubs and bushes: removal of any materials dumped on site</t>
  </si>
  <si>
    <t>Excavate foundation trench of 500mm thick and  a depth of 800mm below the ground level (22*0.5*0.8) for foundation bases</t>
  </si>
  <si>
    <t xml:space="preserve">Excavate column bases base starting from the strip level </t>
  </si>
  <si>
    <t>Substructure foundation and concrete works</t>
  </si>
  <si>
    <t xml:space="preserve">Mass concrete of 50mm thick blinding layer (1:2:4 mix) under the foudation and footing trenches </t>
  </si>
  <si>
    <t>RCC column footings of  (1.2mx1.2m)  and not exceedding 1.2m deep with  Y12   reinfocement bars and formwork</t>
  </si>
  <si>
    <t>RCC column footings of  (0.3mx0.2m)  and height of 1.25m deep up to plinth level with  4 nos. of Y14   reinfocement bars and formwork</t>
  </si>
  <si>
    <t>Construct 40cm thick rubble stone foundation foundation wall ( 22m x 0.4m x1.05 )</t>
  </si>
  <si>
    <t>RCC ground level beam the foundation of trough (0.4mx0.15m)  with 4No. of  Y12 bars &amp; R8 links @ 200 mm c/c. including reinfocement bars and formwork</t>
  </si>
  <si>
    <t>Return and fill 300mm depth with building sand , size 192m² x 0.2m. Compact the surface and water it and compact again</t>
  </si>
  <si>
    <t xml:space="preserve">200mm thick hardcore filling, watered and compacted in layers of approved thickness </t>
  </si>
  <si>
    <t>Lay and cast 100mm with BRC mesh ground slab of 1:2:4 mix design. Including 2.5mx1.6mx0.1m generator holding stage</t>
  </si>
  <si>
    <t>Subtotal for Substructure foundation and concrete works</t>
  </si>
  <si>
    <t xml:space="preserve">Superstructure Construction and concrete works  </t>
  </si>
  <si>
    <t>Vibrated reinforced concrete columns class 20 mix design</t>
  </si>
  <si>
    <t>Construction of 200mm block walls jointedand bedded with cement/sand mortar at ratio of 1:3, block size  (0.2mx0.2mx0.4m) total square area 22mx3.6m and subtracting area of doors and windows and hexagonal vent blocks</t>
  </si>
  <si>
    <t>Construct Hexagon hollow concrete block  vents  (20x20x40)cm , 1m high jointed with cement sand mortar of 1:4proportion (1 cement: 4 clean coarse sand) . Face of wall should be in plumb. Corner block should be proper placed  to correct angles and laid as headers and stretchers. complete with finishes and painting</t>
  </si>
  <si>
    <t>Reinforced concrete ring beams over the windows and doors, and over the wall size 0.2mx0.15mx22m. Beam to have 4No steel bars of 12mm dia, and 8mm dia stirrups, with mix ratio 1:2:4</t>
  </si>
  <si>
    <t xml:space="preserve">Subtotal for Superstructure Construction and concrete works  </t>
  </si>
  <si>
    <t>Doors and windows</t>
  </si>
  <si>
    <t>Supply and install 2.0x3.0m steel  casementdoor to the generator room</t>
  </si>
  <si>
    <t>Supply and install 1.20x2.40m steel casement door to the caretaker room</t>
  </si>
  <si>
    <t>Supply and install 1.20x1.20m steell casement window to the caretaker room</t>
  </si>
  <si>
    <t>Subtotal for Doors and windows</t>
  </si>
  <si>
    <t>Wall and floor finishes</t>
  </si>
  <si>
    <t>wall finishes</t>
  </si>
  <si>
    <t>Render the external and internal wall area including the external  foundation stone with  20mm thick wall plaster with 1:3 mix ratio.</t>
  </si>
  <si>
    <t>Paint the external walls with one coat white wash and two coats of emulsion paint.</t>
  </si>
  <si>
    <t>Floor finishes</t>
  </si>
  <si>
    <t>Finish the floor of the both rooms with  1:4 C/S mortor to 25mm thick screeding layer</t>
  </si>
  <si>
    <t>Subtotal for wall and floor finishes</t>
  </si>
  <si>
    <t>Roofing works</t>
  </si>
  <si>
    <t>Supply and fix guage 28 corrugated roofing sheets with waterproofing caps; laps inclusive roof including truss members, straps and secured with to the truss. The truss members, include common rafters, gusset plates, struts, purlins and ceiling joists are in hard wood and of the following sections: 15x5cm - Tie beam (double), 12.5x2.5cm - Rafter, 10x5cm - struts, 7.5x5cm purlin, 5x5cm ceiling joists</t>
  </si>
  <si>
    <t>25 mm X 200 mm fascia board</t>
  </si>
  <si>
    <t>2 coats of emulsion paint to timber surfaces and fascial board both sides</t>
  </si>
  <si>
    <t>Subtotal for Roofing works</t>
  </si>
  <si>
    <t>Electrical works</t>
  </si>
  <si>
    <t>Allow procisional for electrical installations including; electric conduits, cables lights and Sockets</t>
  </si>
  <si>
    <t>Subtotal for electric works</t>
  </si>
  <si>
    <t>TOTAL COST FOR GENERATOR AND CARETAKER ROOMS</t>
  </si>
  <si>
    <t>F. Construction of Chainlink fence 20m*25m</t>
  </si>
  <si>
    <t>Demolish the existing perimeter fencing and remove the surplus from the site</t>
  </si>
  <si>
    <t>Excavate 90m long trench with average depth of 500mm and width of 400mm into the ground to place it with foundation.</t>
  </si>
  <si>
    <t>supply and install 60.3mm diameter x 4mm thick cranked  CHS posts at 2500mm centres morticed in mass concrete surround. Also support each corner posts with straining  support of Same CHS post</t>
  </si>
  <si>
    <t>Construct 40cm thick rubble stone foundation foundation wall ( 86m x 0.4m x0.8 )</t>
  </si>
  <si>
    <t>Render the external-internal and top of the consructed stone wall area  with  20mm thick  plaster with 1:3 mix ratio.</t>
  </si>
  <si>
    <t xml:space="preserve">Paint the external constructed stone walls with one coat of white wash and two coats of emulsion paint </t>
  </si>
  <si>
    <t>Supply and Install The chain link is 50mmx50mm opening . Which the roll is 20mx2m(LxW) . The area of the perimeter fence is: 20mx25m. Thechainlink of roll 20metes</t>
  </si>
  <si>
    <t>Rolls</t>
  </si>
  <si>
    <t>Supply and fix 3No strands of 12G barbed wire bound onto either sides  of the cranked post using 3mm galvanised wire</t>
  </si>
  <si>
    <t>TOTAL COST FOR fencing perimeter</t>
  </si>
  <si>
    <t>GRAND SUMMARY - BUULOGADUUD WATER WELLS REHABILITATION -CIVIL WORKS</t>
  </si>
  <si>
    <t>A</t>
  </si>
  <si>
    <t>Construction of camel animal tough 6.65mx1.5m</t>
  </si>
  <si>
    <t>B</t>
  </si>
  <si>
    <t>Construction of Goat/Sheap animal tough 6.3mx1.45m</t>
  </si>
  <si>
    <t>C</t>
  </si>
  <si>
    <t xml:space="preserve"> Rehabilitation of 4 water kiosks</t>
  </si>
  <si>
    <t>D</t>
  </si>
  <si>
    <t>Rehabilitation of two elevated water tanks E.W.T</t>
  </si>
  <si>
    <t>E</t>
  </si>
  <si>
    <t>Construction of Generator and caretaker rooms</t>
  </si>
  <si>
    <t>F</t>
  </si>
  <si>
    <t>Construction of Chainlink fence 20m*25m</t>
  </si>
  <si>
    <t>TOTAL COST FOR BULOGADUD CIVIL WORKS</t>
  </si>
  <si>
    <t>Main Summary</t>
  </si>
  <si>
    <t xml:space="preserve">Civil Works </t>
  </si>
  <si>
    <t>Rehabilitation of  Bulogadud  Shallow Water wells</t>
  </si>
  <si>
    <t xml:space="preserve">Solar Water Pump Works </t>
  </si>
  <si>
    <t>Installation of Solar System for Bulagadud Shallow Wells</t>
  </si>
  <si>
    <t>Total Cost for Bulogudud Water Well Rehabilitation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</si>
</sst>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0.000"/>
  </numFmts>
  <fonts count="19" x14ac:knownFonts="1">
    <font>
      <sz val="11"/>
      <color theme="1"/>
      <name val="Aptos Narrow"/>
      <family val="2"/>
      <scheme val="minor"/>
    </font>
    <font>
      <sz val="12"/>
      <color theme="1"/>
      <name val="Aptos Narrow"/>
      <family val="2"/>
      <scheme val="minor"/>
    </font>
    <font>
      <b/>
      <sz val="12"/>
      <color theme="1"/>
      <name val="Aptos Narrow"/>
      <family val="2"/>
      <scheme val="minor"/>
    </font>
    <font>
      <sz val="11"/>
      <color theme="1"/>
      <name val="Aptos Narrow"/>
      <family val="2"/>
      <scheme val="minor"/>
    </font>
    <font>
      <b/>
      <sz val="16"/>
      <color theme="1"/>
      <name val="Aptos Narrow"/>
      <family val="2"/>
      <scheme val="minor"/>
    </font>
    <font>
      <sz val="10"/>
      <name val="Arial"/>
      <family val="2"/>
    </font>
    <font>
      <b/>
      <sz val="12"/>
      <color rgb="FF000000"/>
      <name val="Calibri Light"/>
      <family val="2"/>
    </font>
    <font>
      <b/>
      <sz val="11"/>
      <color rgb="FF000000"/>
      <name val="Calibri Light"/>
      <family val="2"/>
    </font>
    <font>
      <sz val="11"/>
      <color rgb="FF000000"/>
      <name val="Calibri Light"/>
      <family val="2"/>
    </font>
    <font>
      <sz val="12"/>
      <color theme="1"/>
      <name val="Calibri"/>
      <family val="2"/>
    </font>
    <font>
      <sz val="14"/>
      <color theme="1"/>
      <name val="Aptos Narrow"/>
      <family val="2"/>
      <scheme val="minor"/>
    </font>
    <font>
      <b/>
      <sz val="14"/>
      <color theme="1"/>
      <name val="Calibri"/>
      <family val="2"/>
    </font>
    <font>
      <b/>
      <sz val="14"/>
      <color theme="1"/>
      <name val="Aptos Narrow"/>
      <family val="2"/>
      <scheme val="minor"/>
    </font>
    <font>
      <sz val="12"/>
      <name val="Aptos Narrow"/>
      <family val="2"/>
      <scheme val="minor"/>
    </font>
    <font>
      <b/>
      <sz val="12"/>
      <color theme="1"/>
      <name val="Calibri"/>
      <family val="2"/>
    </font>
    <font>
      <b/>
      <sz val="8"/>
      <color theme="1"/>
      <name val="Calibri"/>
      <family val="2"/>
    </font>
    <font>
      <b/>
      <sz val="11"/>
      <color theme="1"/>
      <name val="Aptos Narrow"/>
      <family val="2"/>
      <scheme val="minor"/>
    </font>
    <font>
      <b/>
      <i/>
      <sz val="12"/>
      <color theme="1"/>
      <name val="Aptos Narrow"/>
      <family val="2"/>
      <scheme val="minor"/>
    </font>
    <font>
      <b/>
      <sz val="11"/>
      <name val="Arial"/>
      <family val="2"/>
    </font>
  </fonts>
  <fills count="8">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3">
    <border>
      <left/>
      <right/>
      <top/>
      <bottom/>
      <diagonal/>
    </border>
    <border>
      <left style="thin">
        <color auto="1"/>
      </left>
      <right/>
      <top style="thin">
        <color auto="1"/>
      </top>
      <bottom/>
      <diagonal/>
    </border>
    <border>
      <left/>
      <right/>
      <top style="thin">
        <color auto="1"/>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4">
    <xf numFmtId="0" fontId="0" fillId="0" borderId="0"/>
    <xf numFmtId="44" fontId="3" fillId="0" borderId="0" applyFont="0" applyFill="0" applyBorder="0" applyAlignment="0" applyProtection="0"/>
    <xf numFmtId="0" fontId="5" fillId="0" borderId="0"/>
    <xf numFmtId="0" fontId="3" fillId="0" borderId="0"/>
  </cellStyleXfs>
  <cellXfs count="158">
    <xf numFmtId="0" fontId="0" fillId="0" borderId="0" xfId="0"/>
    <xf numFmtId="0" fontId="5" fillId="0" borderId="0" xfId="2"/>
    <xf numFmtId="44" fontId="5" fillId="0" borderId="0" xfId="1" applyFont="1" applyAlignment="1">
      <alignment horizontal="center" vertical="center"/>
    </xf>
    <xf numFmtId="44" fontId="5" fillId="0" borderId="0" xfId="1" applyFont="1" applyAlignment="1">
      <alignment vertical="center"/>
    </xf>
    <xf numFmtId="0" fontId="7" fillId="2" borderId="4" xfId="3" applyFont="1" applyFill="1" applyBorder="1" applyAlignment="1">
      <alignment horizontal="center" vertical="center" wrapText="1"/>
    </xf>
    <xf numFmtId="0" fontId="7" fillId="2" borderId="4" xfId="3" applyFont="1" applyFill="1" applyBorder="1" applyAlignment="1">
      <alignment horizontal="left" vertical="center" wrapText="1"/>
    </xf>
    <xf numFmtId="164" fontId="1" fillId="0" borderId="4" xfId="0" applyNumberFormat="1" applyFont="1" applyBorder="1" applyAlignment="1">
      <alignment horizontal="center" vertical="center"/>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44" fontId="9" fillId="0" borderId="4" xfId="1" applyFont="1" applyFill="1" applyBorder="1" applyAlignment="1">
      <alignment horizontal="center" vertical="center" wrapText="1"/>
    </xf>
    <xf numFmtId="44" fontId="10" fillId="0" borderId="4" xfId="1" applyFont="1" applyFill="1" applyBorder="1" applyAlignment="1">
      <alignment horizontal="center" vertical="center"/>
    </xf>
    <xf numFmtId="0" fontId="1" fillId="0" borderId="0" xfId="0" applyFont="1" applyAlignment="1">
      <alignment horizontal="left" wrapText="1"/>
    </xf>
    <xf numFmtId="0" fontId="1" fillId="0" borderId="4" xfId="0" applyFont="1" applyBorder="1" applyAlignment="1">
      <alignment horizontal="left" wrapText="1"/>
    </xf>
    <xf numFmtId="0" fontId="10" fillId="4" borderId="4" xfId="0" applyFont="1" applyFill="1" applyBorder="1" applyAlignment="1">
      <alignment horizontal="center"/>
    </xf>
    <xf numFmtId="44" fontId="12" fillId="4" borderId="4" xfId="1" applyFont="1" applyFill="1" applyBorder="1" applyAlignment="1">
      <alignment horizontal="center" vertical="center"/>
    </xf>
    <xf numFmtId="0" fontId="2" fillId="4" borderId="4" xfId="0" applyFont="1" applyFill="1" applyBorder="1"/>
    <xf numFmtId="0" fontId="2" fillId="5" borderId="8" xfId="0" applyFont="1" applyFill="1" applyBorder="1" applyAlignment="1">
      <alignment horizontal="center"/>
    </xf>
    <xf numFmtId="0" fontId="2" fillId="5" borderId="8" xfId="0" applyFont="1" applyFill="1" applyBorder="1" applyAlignment="1">
      <alignment horizontal="left"/>
    </xf>
    <xf numFmtId="0" fontId="2" fillId="5" borderId="8" xfId="0" applyFont="1" applyFill="1" applyBorder="1" applyAlignment="1">
      <alignment horizontal="center" vertical="center"/>
    </xf>
    <xf numFmtId="44" fontId="2" fillId="5" borderId="8" xfId="1" applyFont="1" applyFill="1" applyBorder="1" applyAlignment="1">
      <alignment horizontal="center" vertical="center"/>
    </xf>
    <xf numFmtId="164" fontId="2" fillId="5" borderId="4" xfId="0" applyNumberFormat="1" applyFont="1" applyFill="1" applyBorder="1" applyAlignment="1">
      <alignment horizontal="center"/>
    </xf>
    <xf numFmtId="0" fontId="2" fillId="5" borderId="4" xfId="0" applyFont="1" applyFill="1" applyBorder="1" applyAlignment="1">
      <alignment horizontal="left"/>
    </xf>
    <xf numFmtId="0" fontId="2" fillId="5" borderId="4" xfId="0" applyFont="1" applyFill="1" applyBorder="1" applyAlignment="1">
      <alignment horizontal="center" vertical="center"/>
    </xf>
    <xf numFmtId="44" fontId="2" fillId="5" borderId="4" xfId="1" applyFont="1" applyFill="1" applyBorder="1" applyAlignment="1">
      <alignment horizontal="center" vertical="center"/>
    </xf>
    <xf numFmtId="0" fontId="1" fillId="0" borderId="4" xfId="0" applyFont="1" applyBorder="1" applyAlignment="1">
      <alignment horizontal="center" vertical="center"/>
    </xf>
    <xf numFmtId="44" fontId="1" fillId="0" borderId="4" xfId="1" applyFont="1" applyBorder="1" applyAlignment="1">
      <alignment horizontal="center" vertical="center"/>
    </xf>
    <xf numFmtId="2" fontId="1" fillId="0" borderId="4" xfId="0" applyNumberFormat="1" applyFont="1" applyBorder="1" applyAlignment="1">
      <alignment horizontal="center" vertical="center"/>
    </xf>
    <xf numFmtId="0" fontId="13" fillId="0" borderId="4" xfId="0" applyFont="1" applyBorder="1" applyAlignment="1">
      <alignment horizontal="left" wrapText="1"/>
    </xf>
    <xf numFmtId="0" fontId="1" fillId="5" borderId="4" xfId="0" applyFont="1" applyFill="1" applyBorder="1" applyAlignment="1">
      <alignment horizontal="center"/>
    </xf>
    <xf numFmtId="0" fontId="1" fillId="5" borderId="4" xfId="0" applyFont="1" applyFill="1" applyBorder="1" applyAlignment="1">
      <alignment horizontal="center" vertical="center"/>
    </xf>
    <xf numFmtId="44" fontId="1" fillId="5" borderId="4" xfId="1" applyFont="1" applyFill="1" applyBorder="1" applyAlignment="1">
      <alignment horizontal="center" vertical="center"/>
    </xf>
    <xf numFmtId="44" fontId="12" fillId="5" borderId="4" xfId="1" applyFont="1" applyFill="1" applyBorder="1" applyAlignment="1">
      <alignment horizontal="center" vertical="center"/>
    </xf>
    <xf numFmtId="0" fontId="1" fillId="0" borderId="4" xfId="0" applyFont="1" applyBorder="1" applyAlignment="1">
      <alignment horizontal="center"/>
    </xf>
    <xf numFmtId="0" fontId="2" fillId="0" borderId="4" xfId="0" applyFont="1" applyBorder="1" applyAlignment="1">
      <alignment horizontal="left"/>
    </xf>
    <xf numFmtId="44" fontId="1" fillId="0" borderId="4" xfId="1" applyFont="1" applyFill="1" applyBorder="1" applyAlignment="1">
      <alignment horizontal="center" vertical="center"/>
    </xf>
    <xf numFmtId="0" fontId="13" fillId="0" borderId="4" xfId="0" applyFont="1" applyBorder="1" applyAlignment="1">
      <alignment horizontal="center" vertical="center"/>
    </xf>
    <xf numFmtId="2" fontId="13" fillId="0" borderId="4" xfId="0" applyNumberFormat="1" applyFont="1" applyBorder="1" applyAlignment="1">
      <alignment horizontal="center" vertical="center"/>
    </xf>
    <xf numFmtId="0" fontId="1" fillId="0" borderId="4" xfId="0" applyFont="1" applyBorder="1" applyAlignment="1">
      <alignment horizontal="left"/>
    </xf>
    <xf numFmtId="0" fontId="1" fillId="6" borderId="4" xfId="0" applyFont="1" applyFill="1" applyBorder="1" applyAlignment="1">
      <alignment horizontal="center"/>
    </xf>
    <xf numFmtId="44" fontId="12" fillId="6" borderId="4" xfId="1" applyFont="1" applyFill="1" applyBorder="1" applyAlignment="1">
      <alignment horizontal="center" vertical="center"/>
    </xf>
    <xf numFmtId="0" fontId="0" fillId="0" borderId="9" xfId="0" applyBorder="1" applyAlignment="1">
      <alignment horizontal="center"/>
    </xf>
    <xf numFmtId="0" fontId="15" fillId="0" borderId="10" xfId="0" applyFont="1" applyBorder="1" applyAlignment="1">
      <alignment horizontal="left" vertical="center" wrapText="1"/>
    </xf>
    <xf numFmtId="0" fontId="0" fillId="0" borderId="10" xfId="0" applyBorder="1" applyAlignment="1">
      <alignment horizontal="center" vertical="center"/>
    </xf>
    <xf numFmtId="44" fontId="0" fillId="0" borderId="10" xfId="1" applyFont="1" applyFill="1" applyBorder="1" applyAlignment="1">
      <alignment horizontal="center" vertical="center"/>
    </xf>
    <xf numFmtId="44" fontId="0" fillId="0" borderId="11" xfId="1" applyFont="1" applyFill="1" applyBorder="1" applyAlignment="1">
      <alignment horizontal="center" vertical="center"/>
    </xf>
    <xf numFmtId="0" fontId="2" fillId="5" borderId="4" xfId="0" applyFont="1" applyFill="1" applyBorder="1" applyAlignment="1">
      <alignment horizontal="center"/>
    </xf>
    <xf numFmtId="0" fontId="2" fillId="7" borderId="4" xfId="0" applyFont="1" applyFill="1" applyBorder="1" applyAlignment="1">
      <alignment horizontal="left"/>
    </xf>
    <xf numFmtId="0" fontId="0" fillId="0" borderId="4" xfId="0" applyBorder="1" applyAlignment="1">
      <alignment horizontal="center"/>
    </xf>
    <xf numFmtId="0" fontId="0" fillId="0" borderId="4" xfId="0" applyBorder="1" applyAlignment="1">
      <alignment horizontal="left"/>
    </xf>
    <xf numFmtId="0" fontId="0" fillId="0" borderId="4" xfId="0" applyBorder="1" applyAlignment="1">
      <alignment horizontal="center" vertical="center"/>
    </xf>
    <xf numFmtId="44" fontId="0" fillId="0" borderId="4" xfId="1" applyFont="1" applyBorder="1" applyAlignment="1">
      <alignment horizontal="center" vertical="center"/>
    </xf>
    <xf numFmtId="0" fontId="17" fillId="0" borderId="4" xfId="0" applyFont="1" applyBorder="1" applyAlignment="1">
      <alignment horizontal="left" wrapText="1"/>
    </xf>
    <xf numFmtId="165" fontId="1" fillId="0" borderId="4" xfId="0" applyNumberFormat="1" applyFont="1" applyBorder="1" applyAlignment="1">
      <alignment horizontal="center" vertical="center"/>
    </xf>
    <xf numFmtId="0" fontId="0" fillId="5" borderId="4" xfId="0" applyFill="1" applyBorder="1" applyAlignment="1">
      <alignment horizontal="center"/>
    </xf>
    <xf numFmtId="0" fontId="0" fillId="5" borderId="4" xfId="0" applyFill="1" applyBorder="1" applyAlignment="1">
      <alignment horizontal="center" vertical="center"/>
    </xf>
    <xf numFmtId="44" fontId="0" fillId="5" borderId="4" xfId="1" applyFont="1" applyFill="1" applyBorder="1" applyAlignment="1">
      <alignment horizontal="center" vertical="center"/>
    </xf>
    <xf numFmtId="0" fontId="0" fillId="6" borderId="4" xfId="0" applyFill="1" applyBorder="1" applyAlignment="1">
      <alignment horizontal="center"/>
    </xf>
    <xf numFmtId="0" fontId="2" fillId="6" borderId="4" xfId="0" applyFont="1" applyFill="1" applyBorder="1" applyAlignment="1">
      <alignment horizontal="center" vertical="center"/>
    </xf>
    <xf numFmtId="0" fontId="1" fillId="0" borderId="4"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center"/>
    </xf>
    <xf numFmtId="44" fontId="0" fillId="0" borderId="0" xfId="1" applyFont="1" applyAlignment="1">
      <alignment horizontal="center" vertical="center"/>
    </xf>
    <xf numFmtId="164" fontId="0" fillId="0" borderId="4" xfId="0" applyNumberFormat="1" applyBorder="1" applyAlignment="1">
      <alignment horizontal="center"/>
    </xf>
    <xf numFmtId="0" fontId="0" fillId="0" borderId="4" xfId="0" applyBorder="1" applyAlignment="1">
      <alignment horizontal="left" wrapText="1"/>
    </xf>
    <xf numFmtId="2" fontId="0" fillId="0" borderId="4" xfId="0" applyNumberFormat="1" applyBorder="1" applyAlignment="1">
      <alignment horizontal="center" vertical="center"/>
    </xf>
    <xf numFmtId="44" fontId="0" fillId="0" borderId="4" xfId="1" applyFont="1" applyFill="1" applyBorder="1" applyAlignment="1">
      <alignment horizontal="center" vertical="center"/>
    </xf>
    <xf numFmtId="0" fontId="10" fillId="6" borderId="4" xfId="0" applyFont="1" applyFill="1" applyBorder="1" applyAlignment="1">
      <alignment horizontal="center"/>
    </xf>
    <xf numFmtId="0" fontId="10" fillId="0" borderId="4" xfId="0" applyFont="1" applyBorder="1" applyAlignment="1">
      <alignment horizontal="center"/>
    </xf>
    <xf numFmtId="0" fontId="14" fillId="0" borderId="5" xfId="0" applyFont="1" applyBorder="1" applyAlignment="1">
      <alignment horizontal="left"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164" fontId="1" fillId="0" borderId="4" xfId="0" applyNumberFormat="1" applyFont="1" applyBorder="1" applyAlignment="1">
      <alignment horizontal="center"/>
    </xf>
    <xf numFmtId="164" fontId="1" fillId="4" borderId="4" xfId="0" applyNumberFormat="1" applyFont="1" applyFill="1" applyBorder="1" applyAlignment="1">
      <alignment horizontal="center"/>
    </xf>
    <xf numFmtId="164" fontId="1" fillId="7" borderId="4" xfId="0" applyNumberFormat="1" applyFont="1" applyFill="1" applyBorder="1" applyAlignment="1">
      <alignment horizontal="center" vertical="center"/>
    </xf>
    <xf numFmtId="0" fontId="9" fillId="7" borderId="4" xfId="0" applyFont="1" applyFill="1" applyBorder="1" applyAlignment="1">
      <alignment horizontal="center" vertical="center" wrapText="1"/>
    </xf>
    <xf numFmtId="44" fontId="10" fillId="7" borderId="4" xfId="1" applyFont="1" applyFill="1" applyBorder="1" applyAlignment="1">
      <alignment horizontal="center" vertical="center"/>
    </xf>
    <xf numFmtId="44" fontId="3" fillId="0" borderId="4" xfId="1" applyFont="1" applyBorder="1" applyAlignment="1">
      <alignment horizontal="center" vertical="center"/>
    </xf>
    <xf numFmtId="164" fontId="0" fillId="7" borderId="4" xfId="0" applyNumberFormat="1" applyFill="1" applyBorder="1" applyAlignment="1">
      <alignment horizontal="center" vertical="center"/>
    </xf>
    <xf numFmtId="44" fontId="3" fillId="7" borderId="4" xfId="1" applyFont="1" applyFill="1" applyBorder="1" applyAlignment="1">
      <alignment horizontal="center" vertical="center"/>
    </xf>
    <xf numFmtId="164" fontId="0" fillId="0" borderId="4" xfId="0" applyNumberFormat="1" applyBorder="1" applyAlignment="1">
      <alignment horizontal="center" vertical="center"/>
    </xf>
    <xf numFmtId="44" fontId="3" fillId="0" borderId="4" xfId="1" applyFont="1" applyFill="1" applyBorder="1" applyAlignment="1">
      <alignment horizontal="center" vertical="center"/>
    </xf>
    <xf numFmtId="44" fontId="12" fillId="0" borderId="4" xfId="1" applyFont="1" applyFill="1" applyBorder="1" applyAlignment="1">
      <alignment horizontal="center" vertical="center"/>
    </xf>
    <xf numFmtId="44" fontId="5" fillId="0" borderId="0" xfId="1" applyFont="1" applyFill="1" applyAlignment="1">
      <alignment horizontal="center" vertical="center"/>
    </xf>
    <xf numFmtId="44" fontId="5" fillId="0" borderId="0" xfId="1" applyFont="1" applyFill="1" applyAlignment="1">
      <alignment vertical="center"/>
    </xf>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6" fillId="3" borderId="4" xfId="3" applyFont="1" applyFill="1" applyBorder="1" applyAlignment="1">
      <alignment horizontal="center" vertical="center" wrapText="1"/>
    </xf>
    <xf numFmtId="0" fontId="8" fillId="0" borderId="5" xfId="3" applyFont="1" applyBorder="1" applyAlignment="1">
      <alignment horizontal="left" vertical="center" wrapText="1"/>
    </xf>
    <xf numFmtId="0" fontId="8" fillId="0" borderId="6" xfId="3" applyFont="1" applyBorder="1" applyAlignment="1">
      <alignment horizontal="left" vertical="center" wrapText="1"/>
    </xf>
    <xf numFmtId="0" fontId="8" fillId="0" borderId="7" xfId="3" applyFont="1" applyBorder="1" applyAlignment="1">
      <alignment horizontal="left" vertical="center" wrapText="1"/>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2" fillId="4" borderId="5" xfId="0" applyFont="1" applyFill="1" applyBorder="1" applyAlignment="1">
      <alignment horizontal="center"/>
    </xf>
    <xf numFmtId="0" fontId="2" fillId="4" borderId="7" xfId="0" applyFont="1" applyFill="1" applyBorder="1" applyAlignment="1">
      <alignment horizontal="center"/>
    </xf>
    <xf numFmtId="0" fontId="14" fillId="6" borderId="5" xfId="0" applyFont="1" applyFill="1" applyBorder="1" applyAlignment="1">
      <alignment horizontal="center" vertical="center" wrapText="1"/>
    </xf>
    <xf numFmtId="0" fontId="14" fillId="6" borderId="6"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2" fillId="4" borderId="6" xfId="0" applyFont="1" applyFill="1" applyBorder="1" applyAlignment="1">
      <alignment horizontal="center"/>
    </xf>
    <xf numFmtId="0" fontId="16" fillId="4" borderId="9" xfId="0" applyFont="1" applyFill="1" applyBorder="1" applyAlignment="1">
      <alignment horizontal="center"/>
    </xf>
    <xf numFmtId="0" fontId="16" fillId="4" borderId="10" xfId="0" applyFont="1" applyFill="1" applyBorder="1" applyAlignment="1">
      <alignment horizontal="center"/>
    </xf>
    <xf numFmtId="0" fontId="16" fillId="4" borderId="11" xfId="0" applyFont="1" applyFill="1" applyBorder="1" applyAlignment="1">
      <alignment horizontal="center"/>
    </xf>
    <xf numFmtId="0" fontId="2" fillId="6" borderId="5" xfId="0" applyFont="1" applyFill="1" applyBorder="1" applyAlignment="1">
      <alignment horizontal="center"/>
    </xf>
    <xf numFmtId="0" fontId="2" fillId="6" borderId="6" xfId="0" applyFont="1" applyFill="1" applyBorder="1" applyAlignment="1">
      <alignment horizontal="center"/>
    </xf>
    <xf numFmtId="0" fontId="2" fillId="6" borderId="7" xfId="0" applyFont="1" applyFill="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9" fillId="7" borderId="5"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2" fillId="5" borderId="5" xfId="0" applyFont="1" applyFill="1" applyBorder="1" applyAlignment="1">
      <alignment horizontal="center"/>
    </xf>
    <xf numFmtId="0" fontId="2" fillId="5" borderId="6" xfId="0" applyFont="1" applyFill="1" applyBorder="1" applyAlignment="1">
      <alignment horizontal="center"/>
    </xf>
    <xf numFmtId="0" fontId="2" fillId="5" borderId="7" xfId="0" applyFont="1" applyFill="1" applyBorder="1" applyAlignment="1">
      <alignment horizontal="center"/>
    </xf>
    <xf numFmtId="0" fontId="14" fillId="6" borderId="5" xfId="0" applyFont="1" applyFill="1" applyBorder="1" applyAlignment="1">
      <alignment horizontal="left" vertical="center" wrapText="1"/>
    </xf>
    <xf numFmtId="0" fontId="14" fillId="6" borderId="6" xfId="0" applyFont="1" applyFill="1" applyBorder="1" applyAlignment="1">
      <alignment horizontal="left" vertical="center" wrapText="1"/>
    </xf>
    <xf numFmtId="0" fontId="14" fillId="6" borderId="7" xfId="0" applyFont="1" applyFill="1" applyBorder="1" applyAlignment="1">
      <alignment horizontal="left"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7" borderId="5" xfId="0" applyFill="1" applyBorder="1" applyAlignment="1">
      <alignment horizontal="center" wrapText="1"/>
    </xf>
    <xf numFmtId="0" fontId="0" fillId="7" borderId="6" xfId="0" applyFill="1" applyBorder="1" applyAlignment="1">
      <alignment horizontal="center" wrapText="1"/>
    </xf>
    <xf numFmtId="0" fontId="0" fillId="7" borderId="7" xfId="0" applyFill="1" applyBorder="1" applyAlignment="1">
      <alignment horizontal="center" wrapText="1"/>
    </xf>
    <xf numFmtId="0" fontId="1" fillId="7" borderId="5" xfId="0" applyFont="1" applyFill="1" applyBorder="1" applyAlignment="1">
      <alignment horizontal="center"/>
    </xf>
    <xf numFmtId="0" fontId="1" fillId="7" borderId="6" xfId="0" applyFont="1" applyFill="1" applyBorder="1" applyAlignment="1">
      <alignment horizontal="center"/>
    </xf>
    <xf numFmtId="0" fontId="1" fillId="7" borderId="7" xfId="0" applyFont="1" applyFill="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5" fillId="0" borderId="2" xfId="2" applyBorder="1" applyAlignment="1">
      <alignment horizontal="center"/>
    </xf>
    <xf numFmtId="0" fontId="5" fillId="0" borderId="12" xfId="2" applyBorder="1" applyAlignment="1">
      <alignment horizontal="center"/>
    </xf>
    <xf numFmtId="0" fontId="18" fillId="0" borderId="0" xfId="2" applyFont="1" applyAlignment="1">
      <alignment horizontal="left" wrapText="1"/>
    </xf>
    <xf numFmtId="0" fontId="10" fillId="0" borderId="5"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1" fillId="0" borderId="5" xfId="0" applyFont="1" applyBorder="1" applyAlignment="1">
      <alignment horizontal="left"/>
    </xf>
    <xf numFmtId="0" fontId="1" fillId="0" borderId="6" xfId="0" applyFont="1" applyBorder="1" applyAlignment="1">
      <alignment horizontal="left"/>
    </xf>
    <xf numFmtId="0" fontId="1" fillId="0" borderId="7" xfId="0" applyFont="1" applyBorder="1" applyAlignment="1">
      <alignment horizontal="left"/>
    </xf>
  </cellXfs>
  <cellStyles count="4">
    <cellStyle name="Currency" xfId="1" builtinId="4"/>
    <cellStyle name="Normal" xfId="0" builtinId="0"/>
    <cellStyle name="Normal 10" xfId="2" xr:uid="{80A456F5-A654-4D40-8B8A-C84ADAAC0BFF}"/>
    <cellStyle name="Normal 9" xfId="3" xr:uid="{FD89B991-EE30-9940-A341-0671DBA184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NISF%20March%20Financial%20Statement%20sigv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50E79526\BOQ%20Civil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andem\2004\084-04_caritas%20carpark\Bills%20of%20Quantities\Complex\kdn_bq\kdn_BQ.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KARANJA\Downloads\BOQ%20Civil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Said/Documents/HR/Payroll/June/CO%20staff%20payroll%20of%20June%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0%20Prime%20Agreement\Budgets\Peace%20II%20Revised%20Budget%20-%20v8%20FINAL%2003-31-2008%20(v%202%202%20million)%20(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Jessica\AppData\Local\Microsoft\Windows\Temporary%20Internet%20Files\Content.Outlook\DM57D4L8\Users\KARANJA\Downloads\BOQ%20Civil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Steve\Desktop\Synergetic%20Energy%20Partners\Synergetic%20Projects\East%20African%20Storage%20Ltd\Documents\BOQ%20Civil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C635386/Annex%202%20Detailed%20Budget.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rt of accounts"/>
      <sheetName val="Cash Book"/>
      <sheetName val="Bank"/>
      <sheetName val="Ledger"/>
      <sheetName val="Financial Statement"/>
      <sheetName val="Sheet1"/>
      <sheetName val="chart_of_accounts"/>
      <sheetName val="Cash_Book"/>
      <sheetName val="Financial_Statement"/>
      <sheetName val="chart_of_accounts1"/>
      <sheetName val="Cash_Book1"/>
      <sheetName val="Financial_Statement1"/>
      <sheetName val="chart_of_accounts2"/>
      <sheetName val="Cash_Book2"/>
      <sheetName val="Financial_Statement2"/>
      <sheetName val="chart_of_accounts3"/>
      <sheetName val="Cash_Book3"/>
      <sheetName val="Financial_Statement3"/>
      <sheetName val="Supplier Log"/>
    </sheetNames>
    <sheetDataSet>
      <sheetData sheetId="0" refreshError="1">
        <row r="3">
          <cell r="A3">
            <v>1200</v>
          </cell>
          <cell r="B3" t="str">
            <v>Som. Machinery</v>
          </cell>
        </row>
        <row r="4">
          <cell r="B4" t="str">
            <v>Som. Cars, vehicles</v>
          </cell>
        </row>
        <row r="5">
          <cell r="B5" t="str">
            <v>Som. Inventory/equipment</v>
          </cell>
        </row>
        <row r="6">
          <cell r="B6" t="str">
            <v>Som. Computers</v>
          </cell>
        </row>
        <row r="7">
          <cell r="B7" t="str">
            <v>Myanmar Machinery</v>
          </cell>
        </row>
        <row r="8">
          <cell r="B8" t="str">
            <v>Myanmar Cars,vehicles</v>
          </cell>
        </row>
        <row r="9">
          <cell r="B9" t="str">
            <v>Myanmar Inventory/equipment</v>
          </cell>
        </row>
        <row r="10">
          <cell r="B10" t="str">
            <v>Myanmar Computers</v>
          </cell>
        </row>
        <row r="11">
          <cell r="B11" t="str">
            <v>Receivables from employees</v>
          </cell>
        </row>
        <row r="12">
          <cell r="B12" t="str">
            <v>Other receivables</v>
          </cell>
        </row>
        <row r="13">
          <cell r="B13" t="str">
            <v>Stock</v>
          </cell>
        </row>
        <row r="14">
          <cell r="B14" t="str">
            <v>Advance to contractors</v>
          </cell>
        </row>
        <row r="15">
          <cell r="B15" t="str">
            <v>Other advance</v>
          </cell>
        </row>
        <row r="16">
          <cell r="B16" t="str">
            <v>Client accounts</v>
          </cell>
        </row>
        <row r="17">
          <cell r="B17" t="str">
            <v>Som. Transfer from Oslo</v>
          </cell>
        </row>
        <row r="18">
          <cell r="B18" t="str">
            <v>Oslo Tansfer to Som.</v>
          </cell>
        </row>
        <row r="19">
          <cell r="B19" t="str">
            <v>MM Transfer from Oslo</v>
          </cell>
        </row>
        <row r="20">
          <cell r="B20" t="str">
            <v>Oslo, transfer to MM</v>
          </cell>
        </row>
        <row r="21">
          <cell r="B21" t="str">
            <v>Advance rent</v>
          </cell>
        </row>
        <row r="22">
          <cell r="B22" t="str">
            <v>Advance insurance</v>
          </cell>
        </row>
        <row r="23">
          <cell r="B23" t="str">
            <v>Cash, Som usd</v>
          </cell>
        </row>
        <row r="24">
          <cell r="B24" t="str">
            <v>Cash, Som shillings</v>
          </cell>
        </row>
        <row r="25">
          <cell r="B25" t="str">
            <v>Cash, MM usd</v>
          </cell>
        </row>
        <row r="26">
          <cell r="B26" t="str">
            <v>Cash, MM, mmk</v>
          </cell>
        </row>
        <row r="27">
          <cell r="B27" t="str">
            <v xml:space="preserve">Bank Som, acc no: </v>
          </cell>
        </row>
        <row r="28">
          <cell r="B28" t="str">
            <v xml:space="preserve">Bank MM, acc no: </v>
          </cell>
        </row>
        <row r="29">
          <cell r="B29" t="str">
            <v>Suppliers</v>
          </cell>
        </row>
        <row r="30">
          <cell r="B30" t="str">
            <v>Other short term debt</v>
          </cell>
        </row>
        <row r="31">
          <cell r="B31" t="str">
            <v>Salgsinntekt, konsulent etc</v>
          </cell>
        </row>
        <row r="32">
          <cell r="B32" t="str">
            <v>Grant  MFA</v>
          </cell>
        </row>
        <row r="33">
          <cell r="B33" t="str">
            <v>Grant EU</v>
          </cell>
        </row>
        <row r="34">
          <cell r="B34" t="str">
            <v>Grant ??</v>
          </cell>
        </row>
        <row r="35">
          <cell r="B35" t="str">
            <v>Other project income</v>
          </cell>
        </row>
        <row r="36">
          <cell r="B36" t="str">
            <v>Admin contributions</v>
          </cell>
        </row>
        <row r="37">
          <cell r="B37" t="str">
            <v>Implementing partner (IP) advance</v>
          </cell>
        </row>
        <row r="38">
          <cell r="B38" t="str">
            <v>IP Investments</v>
          </cell>
        </row>
        <row r="39">
          <cell r="B39" t="str">
            <v>IP Project input/primary cost</v>
          </cell>
        </row>
        <row r="40">
          <cell r="B40" t="str">
            <v>IP personnell cost</v>
          </cell>
        </row>
        <row r="41">
          <cell r="B41" t="str">
            <v>IP Transport and travel cost</v>
          </cell>
        </row>
        <row r="42">
          <cell r="B42" t="str">
            <v>IP other operating cost</v>
          </cell>
        </row>
        <row r="43">
          <cell r="B43" t="str">
            <v>Direct project input/primary cost</v>
          </cell>
        </row>
        <row r="44">
          <cell r="B44" t="str">
            <v>Seminars/trainings/consultation meetings</v>
          </cell>
        </row>
        <row r="46">
          <cell r="B46" t="str">
            <v>Consultants, (project input)</v>
          </cell>
        </row>
        <row r="47">
          <cell r="B47" t="str">
            <v>Travel cost, consultants</v>
          </cell>
        </row>
        <row r="48">
          <cell r="B48" t="str">
            <v>insurance and other cost consultants</v>
          </cell>
        </row>
        <row r="49">
          <cell r="B49" t="str">
            <v>Advance to contractors</v>
          </cell>
        </row>
        <row r="50">
          <cell r="B50" t="str">
            <v>Contractor services construction</v>
          </cell>
        </row>
        <row r="51">
          <cell r="B51" t="str">
            <v>Contractor services transportation</v>
          </cell>
        </row>
        <row r="52">
          <cell r="B52" t="str">
            <v>Miscellanous contractor services</v>
          </cell>
        </row>
        <row r="53">
          <cell r="B53" t="str">
            <v>Depreciation on machinery</v>
          </cell>
        </row>
        <row r="54">
          <cell r="B54" t="str">
            <v>Depreciation on cars</v>
          </cell>
        </row>
        <row r="55">
          <cell r="B55" t="str">
            <v xml:space="preserve">Depreciation on inventory </v>
          </cell>
        </row>
        <row r="56">
          <cell r="B56" t="str">
            <v>Depreciation on Tools and equipm</v>
          </cell>
        </row>
        <row r="57">
          <cell r="B57" t="str">
            <v>Deprectiation on Computers</v>
          </cell>
        </row>
        <row r="58">
          <cell r="B58" t="str">
            <v>Depreciation other assets</v>
          </cell>
        </row>
        <row r="59">
          <cell r="B59" t="str">
            <v>Office rent</v>
          </cell>
        </row>
        <row r="60">
          <cell r="B60" t="str">
            <v>Warehouse rent</v>
          </cell>
        </row>
        <row r="61">
          <cell r="B61" t="str">
            <v>Garbage collection, water a.s.o.</v>
          </cell>
        </row>
        <row r="62">
          <cell r="B62" t="str">
            <v>electricity</v>
          </cell>
        </row>
        <row r="63">
          <cell r="B63" t="str">
            <v>Cleaning</v>
          </cell>
        </row>
        <row r="64">
          <cell r="B64" t="str">
            <v>Security/guard/alarm cost</v>
          </cell>
        </row>
        <row r="65">
          <cell r="B65" t="str">
            <v>Other cost premises</v>
          </cell>
        </row>
        <row r="66">
          <cell r="B66" t="str">
            <v>Rent office machines</v>
          </cell>
        </row>
        <row r="67">
          <cell r="B67" t="str">
            <v>Rent  vehicles</v>
          </cell>
        </row>
        <row r="68">
          <cell r="B68" t="str">
            <v>Other rent cost</v>
          </cell>
        </row>
        <row r="69">
          <cell r="B69" t="str">
            <v>Office furniture etc</v>
          </cell>
        </row>
        <row r="70">
          <cell r="B70" t="str">
            <v>Communication equipment</v>
          </cell>
        </row>
        <row r="71">
          <cell r="B71" t="str">
            <v>Office machines</v>
          </cell>
        </row>
        <row r="72">
          <cell r="B72" t="str">
            <v>Other operational materials</v>
          </cell>
        </row>
        <row r="73">
          <cell r="B73" t="str">
            <v xml:space="preserve">Repair and maintenance </v>
          </cell>
        </row>
        <row r="74">
          <cell r="B74" t="str">
            <v>Audit- and accounting fee</v>
          </cell>
        </row>
        <row r="75">
          <cell r="B75" t="str">
            <v>Economic- and legal assistance</v>
          </cell>
        </row>
        <row r="76">
          <cell r="B76" t="str">
            <v>Other external services</v>
          </cell>
        </row>
        <row r="77">
          <cell r="B77" t="str">
            <v>Office/accomodation supplies</v>
          </cell>
        </row>
        <row r="78">
          <cell r="B78" t="str">
            <v>Newspapers, periodicals, books a.s.o.</v>
          </cell>
        </row>
        <row r="79">
          <cell r="B79" t="str">
            <v>Internal meetings</v>
          </cell>
        </row>
        <row r="80">
          <cell r="B80" t="str">
            <v>Mobile phones</v>
          </cell>
        </row>
        <row r="81">
          <cell r="B81" t="str">
            <v>Sattelite phones</v>
          </cell>
        </row>
        <row r="82">
          <cell r="B82" t="str">
            <v>Internet</v>
          </cell>
        </row>
        <row r="83">
          <cell r="B83" t="str">
            <v>Postage</v>
          </cell>
        </row>
        <row r="84">
          <cell r="B84" t="str">
            <v>Fuel</v>
          </cell>
        </row>
        <row r="85">
          <cell r="B85" t="str">
            <v>Maintenance cars/transportation</v>
          </cell>
        </row>
        <row r="86">
          <cell r="B86" t="str">
            <v>Insurance cars/transportation</v>
          </cell>
        </row>
        <row r="87">
          <cell r="B87" t="str">
            <v>Rent cars from car pool</v>
          </cell>
        </row>
        <row r="88">
          <cell r="B88" t="str">
            <v>Other transport cost</v>
          </cell>
        </row>
        <row r="89">
          <cell r="B89" t="str">
            <v>Car allowance Norway</v>
          </cell>
        </row>
        <row r="90">
          <cell r="B90" t="str">
            <v>Car allowance</v>
          </cell>
        </row>
        <row r="91">
          <cell r="B91" t="str">
            <v xml:space="preserve">Travel expenses </v>
          </cell>
        </row>
        <row r="92">
          <cell r="B92" t="str">
            <v>Per diem</v>
          </cell>
        </row>
        <row r="93">
          <cell r="B93" t="str">
            <v>Other allowance</v>
          </cell>
        </row>
        <row r="94">
          <cell r="B94" t="str">
            <v>Meeting cost</v>
          </cell>
        </row>
        <row r="95">
          <cell r="B95" t="str">
            <v>Advertising</v>
          </cell>
        </row>
        <row r="96">
          <cell r="B96" t="str">
            <v>Image-building cost</v>
          </cell>
        </row>
        <row r="97">
          <cell r="B97" t="str">
            <v>Representation</v>
          </cell>
        </row>
        <row r="98">
          <cell r="B98" t="str">
            <v>Subscription</v>
          </cell>
        </row>
        <row r="99">
          <cell r="B99" t="str">
            <v xml:space="preserve">Insurance </v>
          </cell>
        </row>
        <row r="100">
          <cell r="B100" t="str">
            <v>Bank and creditcard fees</v>
          </cell>
        </row>
        <row r="101">
          <cell r="B101" t="str">
            <v>Miscellanous cost</v>
          </cell>
        </row>
        <row r="102">
          <cell r="B102" t="str">
            <v>Interest income</v>
          </cell>
        </row>
        <row r="103">
          <cell r="B103" t="str">
            <v>Profit on exchange</v>
          </cell>
        </row>
        <row r="104">
          <cell r="B104" t="str">
            <v>Other financial income</v>
          </cell>
        </row>
        <row r="105">
          <cell r="B105" t="str">
            <v>Interest expenses</v>
          </cell>
        </row>
        <row r="106">
          <cell r="B106" t="str">
            <v>Loss on exchange</v>
          </cell>
        </row>
        <row r="107">
          <cell r="B107" t="str">
            <v>Other financial expense</v>
          </cell>
        </row>
      </sheetData>
      <sheetData sheetId="1"/>
      <sheetData sheetId="2"/>
      <sheetData sheetId="3"/>
      <sheetData sheetId="4"/>
      <sheetData sheetId="5"/>
      <sheetData sheetId="6" refreshError="1"/>
      <sheetData sheetId="7" refreshError="1"/>
      <sheetData sheetId="8" refreshError="1"/>
      <sheetData sheetId="9">
        <row r="3">
          <cell r="A3">
            <v>1200</v>
          </cell>
        </row>
      </sheetData>
      <sheetData sheetId="10"/>
      <sheetData sheetId="11"/>
      <sheetData sheetId="12">
        <row r="3">
          <cell r="A3">
            <v>1200</v>
          </cell>
        </row>
      </sheetData>
      <sheetData sheetId="13"/>
      <sheetData sheetId="14"/>
      <sheetData sheetId="15">
        <row r="3">
          <cell r="A3">
            <v>1200</v>
          </cell>
        </row>
      </sheetData>
      <sheetData sheetId="16"/>
      <sheetData sheetId="17"/>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 Civil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bq"/>
      <sheetName val="Specifications "/>
      <sheetName val="bills summary"/>
      <sheetName val="Bill I - P&amp;G"/>
      <sheetName val="Bill II"/>
      <sheetName val="Sheet1"/>
      <sheetName val="Bill III-Infrastructure"/>
      <sheetName val="Bill IV-Provisional sums"/>
      <sheetName val="client supplied items"/>
      <sheetName val="Bill III"/>
      <sheetName val="Sheet2"/>
    </sheetNames>
    <sheetDataSet>
      <sheetData sheetId="0" refreshError="1"/>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amble"/>
      <sheetName val="GENERALS &amp; PRELIMINARIES"/>
      <sheetName val="CIVIL WORKS"/>
      <sheetName val="BOQ - Civils"/>
      <sheetName val="BOQ - Mechanical"/>
    </sheetNames>
    <sheetDataSet>
      <sheetData sheetId="0"/>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tional Staff payroll"/>
      <sheetName val="MoWHR payroll"/>
      <sheetName val="Casual workers Mogadishu"/>
      <sheetName val="casual workers barawe"/>
      <sheetName val="kismayo casual workers"/>
      <sheetName val="Barawe Casual workers"/>
      <sheetName val="National Staff payroll (2)"/>
    </sheetNames>
    <sheetDataSet>
      <sheetData sheetId="0"/>
      <sheetData sheetId="1"/>
      <sheetData sheetId="2"/>
      <sheetData sheetId="3"/>
      <sheetData sheetId="4"/>
      <sheetData sheetId="5"/>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Pact Inc. Budget"/>
      <sheetName val="Pact Travel"/>
      <sheetName val="PK Detail Budget"/>
      <sheetName val="Pact Kenya Travel"/>
      <sheetName val="PK Program"/>
      <sheetName val="PK Workshops"/>
      <sheetName val="SF424"/>
      <sheetName val="SF424A1"/>
      <sheetName val="SF424A2"/>
    </sheetNames>
    <sheetDataSet>
      <sheetData sheetId="0"/>
      <sheetData sheetId="1">
        <row r="2">
          <cell r="J2">
            <v>1.0349999999999999</v>
          </cell>
        </row>
      </sheetData>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amble"/>
      <sheetName val="GENERALS &amp; PRELIMINARIES"/>
      <sheetName val="CIVIL WORKS"/>
      <sheetName val="BOQ - Civils"/>
      <sheetName val="BOQ - Mechanical"/>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amble"/>
      <sheetName val="GENERALS &amp; PRELIMINARIES"/>
      <sheetName val="CIVIL WORKS (2)"/>
      <sheetName val="CIVIL WORKS"/>
      <sheetName val="BOQ - Civils"/>
      <sheetName val="BOQ - Mechanical"/>
      <sheetName val="MAIN SUMMARY"/>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ARC Detailed Budget"/>
      <sheetName val="Field and KRT-NYL PerDiem"/>
      <sheetName val="HQ Position Detail"/>
      <sheetName val="HQ &amp; regional support "/>
      <sheetName val="Travel and transportation"/>
      <sheetName val="Benefits and allowances"/>
      <sheetName val="Events &amp; Trainings"/>
      <sheetName val="Wells BOQs"/>
      <sheetName val="Latrines BoQ"/>
      <sheetName val="Water pan &amp; Borehole BoQ"/>
      <sheetName val="Rx BoQ"/>
      <sheetName val="Medical Equip BOQ"/>
      <sheetName val="Lab Equip &amp; Supplies BOQ"/>
      <sheetName val="MCH Rehab BOQ"/>
      <sheetName val="Pipeline Feb 2013 (Est.)"/>
    </sheetNames>
    <sheetDataSet>
      <sheetData sheetId="0">
        <row r="2">
          <cell r="D2" t="str">
            <v>ARC Somalia</v>
          </cell>
        </row>
        <row r="3">
          <cell r="D3" t="str">
            <v>OFDA Budget Summary 04/01/2013 - 03/31/2014</v>
          </cell>
        </row>
        <row r="4">
          <cell r="D4" t="str">
            <v>Responding to Emergency Needs of IDPs &amp; Returns in South Central Somalia</v>
          </cell>
        </row>
        <row r="6">
          <cell r="D6" t="str">
            <v>Sector 1:                 HEALTH</v>
          </cell>
          <cell r="E6" t="str">
            <v>Sector 2:                 WASH</v>
          </cell>
          <cell r="F6" t="str">
            <v>Sector 3:                 Protection</v>
          </cell>
          <cell r="G6" t="str">
            <v>Sector 4:                 AGRICULTURE</v>
          </cell>
          <cell r="H6" t="str">
            <v>Total Requested from OFDA</v>
          </cell>
          <cell r="I6" t="str">
            <v>Total Other Contributing</v>
          </cell>
          <cell r="J6" t="str">
            <v>Total Project Budget</v>
          </cell>
        </row>
        <row r="9">
          <cell r="B9" t="str">
            <v>I</v>
          </cell>
          <cell r="C9" t="str">
            <v>Personnel</v>
          </cell>
          <cell r="D9">
            <v>555095.50373500772</v>
          </cell>
          <cell r="E9">
            <v>525833.30775984901</v>
          </cell>
          <cell r="F9">
            <v>49229.809428220076</v>
          </cell>
          <cell r="G9" t="e">
            <v>#REF!</v>
          </cell>
          <cell r="H9">
            <v>1130158.620923077</v>
          </cell>
          <cell r="I9">
            <v>163950</v>
          </cell>
          <cell r="J9">
            <v>1294108.620923077</v>
          </cell>
        </row>
        <row r="11">
          <cell r="B11" t="str">
            <v>II</v>
          </cell>
          <cell r="C11" t="str">
            <v>Allowances &amp; Benefits</v>
          </cell>
          <cell r="D11">
            <v>85194.994133097163</v>
          </cell>
          <cell r="E11">
            <v>138536.92384221914</v>
          </cell>
          <cell r="F11">
            <v>9616.6545108375703</v>
          </cell>
          <cell r="G11">
            <v>0</v>
          </cell>
          <cell r="H11">
            <v>233348.57248615386</v>
          </cell>
          <cell r="I11">
            <v>3360</v>
          </cell>
          <cell r="J11">
            <v>236708.57248615386</v>
          </cell>
        </row>
        <row r="13">
          <cell r="B13" t="str">
            <v>III</v>
          </cell>
          <cell r="C13" t="str">
            <v>Transportation</v>
          </cell>
          <cell r="D13">
            <v>75786.987737827614</v>
          </cell>
          <cell r="E13">
            <v>123238.4162391506</v>
          </cell>
          <cell r="F13">
            <v>8554.6960230217974</v>
          </cell>
          <cell r="G13">
            <v>0</v>
          </cell>
          <cell r="H13">
            <v>207580.1</v>
          </cell>
          <cell r="I13">
            <v>19132.025000000001</v>
          </cell>
          <cell r="J13">
            <v>226712.125</v>
          </cell>
        </row>
        <row r="15">
          <cell r="B15" t="str">
            <v>III</v>
          </cell>
          <cell r="C15" t="str">
            <v>Non-expendable Equipment</v>
          </cell>
          <cell r="D15">
            <v>0</v>
          </cell>
          <cell r="E15">
            <v>0</v>
          </cell>
          <cell r="F15">
            <v>0</v>
          </cell>
          <cell r="H15">
            <v>0</v>
          </cell>
          <cell r="I15">
            <v>0</v>
          </cell>
          <cell r="J15">
            <v>0</v>
          </cell>
        </row>
        <row r="17">
          <cell r="B17" t="str">
            <v>IV</v>
          </cell>
          <cell r="C17" t="str">
            <v>Expendable Equipment</v>
          </cell>
          <cell r="D17">
            <v>0</v>
          </cell>
          <cell r="E17">
            <v>0</v>
          </cell>
          <cell r="F17">
            <v>0</v>
          </cell>
          <cell r="G17">
            <v>0</v>
          </cell>
          <cell r="H17">
            <v>0</v>
          </cell>
          <cell r="I17">
            <v>0</v>
          </cell>
          <cell r="J17">
            <v>0</v>
          </cell>
        </row>
        <row r="19">
          <cell r="B19" t="str">
            <v>V</v>
          </cell>
          <cell r="C19" t="str">
            <v>Contracts/Subawards</v>
          </cell>
          <cell r="D19">
            <v>2336.6243754680568</v>
          </cell>
          <cell r="E19">
            <v>3799.6217553154843</v>
          </cell>
          <cell r="F19">
            <v>263.75386921645912</v>
          </cell>
          <cell r="G19">
            <v>0</v>
          </cell>
          <cell r="H19">
            <v>6400</v>
          </cell>
          <cell r="I19">
            <v>0</v>
          </cell>
          <cell r="J19">
            <v>0</v>
          </cell>
        </row>
        <row r="21">
          <cell r="B21" t="str">
            <v>VI</v>
          </cell>
          <cell r="C21" t="str">
            <v>Program Supplies &amp; Materials</v>
          </cell>
          <cell r="D21">
            <v>120235.29267600065</v>
          </cell>
          <cell r="E21">
            <v>231276.07269780413</v>
          </cell>
          <cell r="F21">
            <v>15123.634626195215</v>
          </cell>
          <cell r="G21" t="e">
            <v>#REF!</v>
          </cell>
          <cell r="H21">
            <v>366635</v>
          </cell>
          <cell r="I21">
            <v>21605.75</v>
          </cell>
          <cell r="J21">
            <v>388240.75</v>
          </cell>
        </row>
        <row r="23">
          <cell r="B23" t="str">
            <v>VII</v>
          </cell>
          <cell r="C23" t="str">
            <v>Other Direct Costs</v>
          </cell>
          <cell r="D23">
            <v>86674.160427518218</v>
          </cell>
          <cell r="E23">
            <v>140942.8194862337</v>
          </cell>
          <cell r="F23">
            <v>9784.5200862480306</v>
          </cell>
          <cell r="G23">
            <v>0</v>
          </cell>
          <cell r="H23">
            <v>237400</v>
          </cell>
          <cell r="I23">
            <v>77200</v>
          </cell>
          <cell r="J23">
            <v>314601</v>
          </cell>
        </row>
        <row r="25">
          <cell r="B25" t="str">
            <v>VIII</v>
          </cell>
          <cell r="C25" t="str">
            <v>Total Direct Costs</v>
          </cell>
          <cell r="D25">
            <v>925323.56308491947</v>
          </cell>
          <cell r="E25">
            <v>1163627.161780572</v>
          </cell>
          <cell r="F25">
            <v>92573.068543739151</v>
          </cell>
          <cell r="G25" t="e">
            <v>#REF!</v>
          </cell>
          <cell r="H25">
            <v>2181522.2934092311</v>
          </cell>
          <cell r="I25">
            <v>285247.77500000002</v>
          </cell>
          <cell r="J25">
            <v>2468371.0684092306</v>
          </cell>
        </row>
        <row r="27">
          <cell r="B27" t="str">
            <v>IX</v>
          </cell>
          <cell r="C27" t="str">
            <v>Indirect Cost</v>
          </cell>
          <cell r="D27">
            <v>135559.90199194069</v>
          </cell>
          <cell r="E27">
            <v>170471.37920085379</v>
          </cell>
          <cell r="F27">
            <v>13561.954541657786</v>
          </cell>
          <cell r="G27" t="e">
            <v>#REF!</v>
          </cell>
          <cell r="H27">
            <v>319593.01598445233</v>
          </cell>
          <cell r="I27">
            <v>41788.799037500001</v>
          </cell>
          <cell r="J27">
            <v>361616.36152195226</v>
          </cell>
        </row>
        <row r="29">
          <cell r="C29" t="str">
            <v>TOTAL</v>
          </cell>
          <cell r="D29">
            <v>1060883.46507686</v>
          </cell>
          <cell r="E29">
            <v>1334098.5409814259</v>
          </cell>
          <cell r="F29">
            <v>106135.02308539694</v>
          </cell>
          <cell r="G29" t="e">
            <v>#REF!</v>
          </cell>
          <cell r="H29">
            <v>2501115.3093936834</v>
          </cell>
          <cell r="I29">
            <v>327036.57403750002</v>
          </cell>
          <cell r="J29">
            <v>2829987.4299311829</v>
          </cell>
        </row>
      </sheetData>
      <sheetData sheetId="1">
        <row r="7">
          <cell r="G7" t="str">
            <v>Unit type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65EBA-724B-4E41-8BE0-3392580AD2FA}">
  <dimension ref="A1:K194"/>
  <sheetViews>
    <sheetView tabSelected="1" view="pageBreakPreview" zoomScale="106" zoomScaleNormal="100" zoomScaleSheetLayoutView="90" workbookViewId="0">
      <selection activeCell="H41" sqref="H41"/>
    </sheetView>
  </sheetViews>
  <sheetFormatPr defaultColWidth="9.33203125" defaultRowHeight="13.2" x14ac:dyDescent="0.25"/>
  <cols>
    <col min="1" max="1" width="8.109375" style="1" customWidth="1"/>
    <col min="2" max="2" width="55.6640625" style="1" bestFit="1" customWidth="1"/>
    <col min="3" max="3" width="9.109375" style="1" customWidth="1"/>
    <col min="4" max="4" width="11.44140625" style="1" customWidth="1"/>
    <col min="5" max="5" width="13.44140625" style="1" bestFit="1" customWidth="1"/>
    <col min="6" max="6" width="20.109375" style="1" customWidth="1"/>
    <col min="7" max="7" width="11.6640625" style="1" customWidth="1"/>
    <col min="8" max="8" width="13" style="1" customWidth="1"/>
    <col min="9" max="9" width="14.6640625" style="1" customWidth="1"/>
    <col min="10" max="10" width="12.109375" style="2" customWidth="1"/>
    <col min="11" max="11" width="19.44140625" style="3" customWidth="1"/>
    <col min="12" max="12" width="12.6640625" style="1" customWidth="1"/>
    <col min="13" max="16384" width="9.33203125" style="1"/>
  </cols>
  <sheetData>
    <row r="1" spans="1:6" ht="21" x14ac:dyDescent="0.4">
      <c r="A1" s="88" t="s">
        <v>0</v>
      </c>
      <c r="B1" s="89"/>
      <c r="C1" s="89"/>
      <c r="D1" s="89"/>
      <c r="E1" s="89"/>
      <c r="F1" s="90"/>
    </row>
    <row r="2" spans="1:6" ht="15.6" x14ac:dyDescent="0.25">
      <c r="A2" s="91" t="s">
        <v>1</v>
      </c>
      <c r="B2" s="91"/>
      <c r="C2" s="91"/>
      <c r="D2" s="91"/>
      <c r="E2" s="91"/>
      <c r="F2" s="91"/>
    </row>
    <row r="3" spans="1:6" ht="28.8" x14ac:dyDescent="0.25">
      <c r="A3" s="4" t="s">
        <v>2</v>
      </c>
      <c r="B3" s="5" t="s">
        <v>3</v>
      </c>
      <c r="C3" s="4" t="s">
        <v>4</v>
      </c>
      <c r="D3" s="4" t="s">
        <v>5</v>
      </c>
      <c r="E3" s="4" t="s">
        <v>6</v>
      </c>
      <c r="F3" s="4" t="s">
        <v>7</v>
      </c>
    </row>
    <row r="4" spans="1:6" ht="87" customHeight="1" x14ac:dyDescent="0.25">
      <c r="A4" s="92" t="s">
        <v>8</v>
      </c>
      <c r="B4" s="93"/>
      <c r="C4" s="93"/>
      <c r="D4" s="93"/>
      <c r="E4" s="93"/>
      <c r="F4" s="94"/>
    </row>
    <row r="5" spans="1:6" ht="62.4" x14ac:dyDescent="0.25">
      <c r="A5" s="6">
        <v>1</v>
      </c>
      <c r="B5" s="7" t="s">
        <v>9</v>
      </c>
      <c r="C5" s="8" t="s">
        <v>10</v>
      </c>
      <c r="D5" s="8">
        <v>8000</v>
      </c>
      <c r="E5" s="9"/>
      <c r="F5" s="10">
        <f>D5*E5</f>
        <v>0</v>
      </c>
    </row>
    <row r="6" spans="1:6" ht="187.2" x14ac:dyDescent="0.3">
      <c r="A6" s="6">
        <v>2</v>
      </c>
      <c r="B6" s="11" t="s">
        <v>11</v>
      </c>
      <c r="C6" s="8" t="s">
        <v>4</v>
      </c>
      <c r="D6" s="8">
        <v>2</v>
      </c>
      <c r="E6" s="9"/>
      <c r="F6" s="10">
        <f t="shared" ref="F6:F16" si="0">D6*E6</f>
        <v>0</v>
      </c>
    </row>
    <row r="7" spans="1:6" ht="62.4" x14ac:dyDescent="0.3">
      <c r="A7" s="6">
        <v>3</v>
      </c>
      <c r="B7" s="12" t="s">
        <v>12</v>
      </c>
      <c r="C7" s="8" t="s">
        <v>13</v>
      </c>
      <c r="D7" s="8">
        <v>1</v>
      </c>
      <c r="E7" s="9"/>
      <c r="F7" s="10">
        <f t="shared" si="0"/>
        <v>0</v>
      </c>
    </row>
    <row r="8" spans="1:6" ht="78" x14ac:dyDescent="0.3">
      <c r="A8" s="6">
        <v>4</v>
      </c>
      <c r="B8" s="12" t="s">
        <v>14</v>
      </c>
      <c r="C8" s="8" t="s">
        <v>15</v>
      </c>
      <c r="D8" s="8">
        <v>1</v>
      </c>
      <c r="E8" s="9"/>
      <c r="F8" s="10">
        <f t="shared" si="0"/>
        <v>0</v>
      </c>
    </row>
    <row r="9" spans="1:6" ht="18" x14ac:dyDescent="0.3">
      <c r="A9" s="6">
        <v>5</v>
      </c>
      <c r="B9" s="12" t="s">
        <v>16</v>
      </c>
      <c r="C9" s="8" t="s">
        <v>17</v>
      </c>
      <c r="D9" s="8">
        <v>60</v>
      </c>
      <c r="E9" s="9"/>
      <c r="F9" s="10">
        <f t="shared" si="0"/>
        <v>0</v>
      </c>
    </row>
    <row r="10" spans="1:6" ht="18" x14ac:dyDescent="0.3">
      <c r="A10" s="6">
        <v>6</v>
      </c>
      <c r="B10" s="12" t="s">
        <v>18</v>
      </c>
      <c r="C10" s="8" t="s">
        <v>17</v>
      </c>
      <c r="D10" s="8">
        <v>30</v>
      </c>
      <c r="E10" s="9"/>
      <c r="F10" s="10">
        <f t="shared" si="0"/>
        <v>0</v>
      </c>
    </row>
    <row r="11" spans="1:6" ht="31.2" x14ac:dyDescent="0.3">
      <c r="A11" s="6">
        <v>7</v>
      </c>
      <c r="B11" s="12" t="s">
        <v>19</v>
      </c>
      <c r="C11" s="8" t="s">
        <v>20</v>
      </c>
      <c r="D11" s="8">
        <v>1</v>
      </c>
      <c r="E11" s="9"/>
      <c r="F11" s="10">
        <f t="shared" si="0"/>
        <v>0</v>
      </c>
    </row>
    <row r="12" spans="1:6" ht="18" x14ac:dyDescent="0.3">
      <c r="A12" s="6">
        <v>8</v>
      </c>
      <c r="B12" s="12" t="s">
        <v>21</v>
      </c>
      <c r="C12" s="8" t="s">
        <v>13</v>
      </c>
      <c r="D12" s="8">
        <v>2</v>
      </c>
      <c r="E12" s="9"/>
      <c r="F12" s="10">
        <f t="shared" si="0"/>
        <v>0</v>
      </c>
    </row>
    <row r="13" spans="1:6" ht="57" customHeight="1" x14ac:dyDescent="0.3">
      <c r="A13" s="6">
        <v>9</v>
      </c>
      <c r="B13" s="12" t="s">
        <v>22</v>
      </c>
      <c r="C13" s="8" t="s">
        <v>4</v>
      </c>
      <c r="D13" s="8">
        <v>1</v>
      </c>
      <c r="E13" s="9"/>
      <c r="F13" s="10">
        <f t="shared" si="0"/>
        <v>0</v>
      </c>
    </row>
    <row r="14" spans="1:6" ht="31.2" x14ac:dyDescent="0.3">
      <c r="A14" s="6">
        <v>10</v>
      </c>
      <c r="B14" s="12" t="s">
        <v>23</v>
      </c>
      <c r="C14" s="8" t="s">
        <v>4</v>
      </c>
      <c r="D14" s="8">
        <v>1</v>
      </c>
      <c r="E14" s="9"/>
      <c r="F14" s="10">
        <f t="shared" si="0"/>
        <v>0</v>
      </c>
    </row>
    <row r="15" spans="1:6" ht="90" x14ac:dyDescent="0.25">
      <c r="A15" s="6">
        <v>11</v>
      </c>
      <c r="B15" s="7" t="s">
        <v>24</v>
      </c>
      <c r="C15" s="8" t="s">
        <v>20</v>
      </c>
      <c r="D15" s="8">
        <v>1</v>
      </c>
      <c r="E15" s="9"/>
      <c r="F15" s="10">
        <f t="shared" si="0"/>
        <v>0</v>
      </c>
    </row>
    <row r="16" spans="1:6" ht="46.8" x14ac:dyDescent="0.3">
      <c r="A16" s="6">
        <v>12</v>
      </c>
      <c r="B16" s="11" t="s">
        <v>25</v>
      </c>
      <c r="C16" s="8" t="s">
        <v>20</v>
      </c>
      <c r="D16" s="8">
        <v>1</v>
      </c>
      <c r="E16" s="9"/>
      <c r="F16" s="10">
        <f t="shared" si="0"/>
        <v>0</v>
      </c>
    </row>
    <row r="17" spans="1:6" ht="18" x14ac:dyDescent="0.35">
      <c r="A17" s="13"/>
      <c r="B17" s="95" t="s">
        <v>26</v>
      </c>
      <c r="C17" s="96"/>
      <c r="D17" s="96"/>
      <c r="E17" s="97"/>
      <c r="F17" s="14">
        <f>SUM(F5:F16)</f>
        <v>0</v>
      </c>
    </row>
    <row r="18" spans="1:6" ht="15.6" x14ac:dyDescent="0.3">
      <c r="A18" s="15" t="s">
        <v>27</v>
      </c>
      <c r="B18" s="15"/>
      <c r="C18" s="15"/>
      <c r="D18" s="15"/>
      <c r="E18" s="98" t="s">
        <v>28</v>
      </c>
      <c r="F18" s="99"/>
    </row>
    <row r="19" spans="1:6" ht="15.6" x14ac:dyDescent="0.3">
      <c r="A19" s="16" t="s">
        <v>29</v>
      </c>
      <c r="B19" s="17" t="s">
        <v>30</v>
      </c>
      <c r="C19" s="18" t="s">
        <v>31</v>
      </c>
      <c r="D19" s="18" t="s">
        <v>32</v>
      </c>
      <c r="E19" s="19" t="s">
        <v>33</v>
      </c>
      <c r="F19" s="19" t="s">
        <v>34</v>
      </c>
    </row>
    <row r="20" spans="1:6" ht="15.6" x14ac:dyDescent="0.3">
      <c r="A20" s="20">
        <v>1</v>
      </c>
      <c r="B20" s="21" t="s">
        <v>35</v>
      </c>
      <c r="C20" s="22"/>
      <c r="D20" s="22"/>
      <c r="E20" s="23"/>
      <c r="F20" s="23"/>
    </row>
    <row r="21" spans="1:6" ht="15.6" x14ac:dyDescent="0.3">
      <c r="A21" s="6">
        <v>1.1000000000000001</v>
      </c>
      <c r="B21" s="11" t="s">
        <v>36</v>
      </c>
      <c r="C21" s="24">
        <f>10.65*5.5</f>
        <v>58.575000000000003</v>
      </c>
      <c r="D21" s="24" t="s">
        <v>37</v>
      </c>
      <c r="E21" s="25"/>
      <c r="F21" s="25">
        <f>C21*E21</f>
        <v>0</v>
      </c>
    </row>
    <row r="22" spans="1:6" ht="46.8" x14ac:dyDescent="0.3">
      <c r="A22" s="6">
        <v>1.2</v>
      </c>
      <c r="B22" s="12" t="s">
        <v>38</v>
      </c>
      <c r="C22" s="26">
        <f>(17.8*0.6*1.2)</f>
        <v>12.815999999999999</v>
      </c>
      <c r="D22" s="24" t="s">
        <v>39</v>
      </c>
      <c r="E22" s="25"/>
      <c r="F22" s="25">
        <f t="shared" ref="F22:F23" si="1">C22*E22</f>
        <v>0</v>
      </c>
    </row>
    <row r="23" spans="1:6" ht="31.2" x14ac:dyDescent="0.3">
      <c r="A23" s="6">
        <v>1.3</v>
      </c>
      <c r="B23" s="27" t="s">
        <v>40</v>
      </c>
      <c r="C23" s="24">
        <f>(32.3*2*0.1)</f>
        <v>6.46</v>
      </c>
      <c r="D23" s="24" t="s">
        <v>39</v>
      </c>
      <c r="E23" s="25"/>
      <c r="F23" s="25">
        <f t="shared" si="1"/>
        <v>0</v>
      </c>
    </row>
    <row r="24" spans="1:6" ht="18" x14ac:dyDescent="0.3">
      <c r="A24" s="28"/>
      <c r="B24" s="21" t="s">
        <v>41</v>
      </c>
      <c r="C24" s="29"/>
      <c r="D24" s="29"/>
      <c r="E24" s="30"/>
      <c r="F24" s="31">
        <f>SUM(F21:F23)</f>
        <v>0</v>
      </c>
    </row>
    <row r="25" spans="1:6" ht="15.6" x14ac:dyDescent="0.3">
      <c r="A25" s="32"/>
      <c r="B25" s="33"/>
      <c r="C25" s="24"/>
      <c r="D25" s="24"/>
      <c r="E25" s="34"/>
      <c r="F25" s="34"/>
    </row>
    <row r="26" spans="1:6" ht="15.6" x14ac:dyDescent="0.3">
      <c r="A26" s="20">
        <v>2</v>
      </c>
      <c r="B26" s="21" t="s">
        <v>42</v>
      </c>
      <c r="C26" s="22"/>
      <c r="D26" s="22"/>
      <c r="E26" s="23"/>
      <c r="F26" s="23"/>
    </row>
    <row r="27" spans="1:6" ht="31.2" x14ac:dyDescent="0.3">
      <c r="A27" s="24">
        <v>2.1</v>
      </c>
      <c r="B27" s="12" t="s">
        <v>43</v>
      </c>
      <c r="C27" s="35">
        <f>17.8*0.6*0.05</f>
        <v>0.53400000000000003</v>
      </c>
      <c r="D27" s="24" t="s">
        <v>39</v>
      </c>
      <c r="E27" s="25"/>
      <c r="F27" s="25">
        <f>C27*E27</f>
        <v>0</v>
      </c>
    </row>
    <row r="28" spans="1:6" ht="46.8" x14ac:dyDescent="0.3">
      <c r="A28" s="24">
        <v>2.2000000000000002</v>
      </c>
      <c r="B28" s="12" t="s">
        <v>44</v>
      </c>
      <c r="C28" s="24">
        <f>17.8*0.6*0.2</f>
        <v>2.1360000000000001</v>
      </c>
      <c r="D28" s="24" t="s">
        <v>39</v>
      </c>
      <c r="E28" s="25"/>
      <c r="F28" s="25">
        <f t="shared" ref="F28:F36" si="2">C28*E28</f>
        <v>0</v>
      </c>
    </row>
    <row r="29" spans="1:6" ht="46.8" x14ac:dyDescent="0.3">
      <c r="A29" s="24">
        <v>2.2999999999999998</v>
      </c>
      <c r="B29" s="12" t="s">
        <v>45</v>
      </c>
      <c r="C29" s="35">
        <f>17.8*1.95*0.2</f>
        <v>6.9420000000000002</v>
      </c>
      <c r="D29" s="24" t="s">
        <v>39</v>
      </c>
      <c r="E29" s="25"/>
      <c r="F29" s="25">
        <f t="shared" si="2"/>
        <v>0</v>
      </c>
    </row>
    <row r="30" spans="1:6" ht="31.2" x14ac:dyDescent="0.3">
      <c r="A30" s="24">
        <v>2.4</v>
      </c>
      <c r="B30" s="12" t="s">
        <v>46</v>
      </c>
      <c r="C30" s="26">
        <f>(((5.13*1.1)+(1.18*1.1))*0.25)+(32.3*2*0.1)</f>
        <v>8.1952499999999997</v>
      </c>
      <c r="D30" s="24" t="s">
        <v>39</v>
      </c>
      <c r="E30" s="25"/>
      <c r="F30" s="25">
        <f t="shared" si="2"/>
        <v>0</v>
      </c>
    </row>
    <row r="31" spans="1:6" ht="31.2" x14ac:dyDescent="0.3">
      <c r="A31" s="24">
        <v>2.5</v>
      </c>
      <c r="B31" s="12" t="s">
        <v>47</v>
      </c>
      <c r="C31" s="36">
        <f>(1.5*6.65*0.05)+(32.3*2*0.05)</f>
        <v>3.7287500000000002</v>
      </c>
      <c r="D31" s="24" t="s">
        <v>39</v>
      </c>
      <c r="E31" s="25"/>
      <c r="F31" s="25">
        <f>C31*E31</f>
        <v>0</v>
      </c>
    </row>
    <row r="32" spans="1:6" ht="31.2" x14ac:dyDescent="0.3">
      <c r="A32" s="24">
        <v>2.6</v>
      </c>
      <c r="B32" s="12" t="s">
        <v>48</v>
      </c>
      <c r="C32" s="24">
        <f>(5.13+1.18)*0.1</f>
        <v>0.63100000000000001</v>
      </c>
      <c r="D32" s="24" t="s">
        <v>37</v>
      </c>
      <c r="E32" s="25"/>
      <c r="F32" s="25">
        <f>C32*E32</f>
        <v>0</v>
      </c>
    </row>
    <row r="33" spans="1:6" ht="31.2" x14ac:dyDescent="0.3">
      <c r="A33" s="24">
        <v>2.7</v>
      </c>
      <c r="B33" s="11" t="s">
        <v>49</v>
      </c>
      <c r="C33" s="35">
        <f>(17.8*0.7*2)+(16.3*0.3)</f>
        <v>29.81</v>
      </c>
      <c r="D33" s="24" t="s">
        <v>37</v>
      </c>
      <c r="E33" s="25"/>
      <c r="F33" s="25">
        <f t="shared" si="2"/>
        <v>0</v>
      </c>
    </row>
    <row r="34" spans="1:6" ht="46.8" x14ac:dyDescent="0.3">
      <c r="A34" s="26">
        <v>2.8</v>
      </c>
      <c r="B34" s="12" t="s">
        <v>50</v>
      </c>
      <c r="C34" s="24">
        <f>32.3*0.1*2</f>
        <v>6.46</v>
      </c>
      <c r="D34" s="24" t="s">
        <v>39</v>
      </c>
      <c r="E34" s="25"/>
      <c r="F34" s="25">
        <f>C34*E34</f>
        <v>0</v>
      </c>
    </row>
    <row r="35" spans="1:6" ht="31.2" x14ac:dyDescent="0.3">
      <c r="A35" s="26">
        <v>2.9</v>
      </c>
      <c r="B35" s="12" t="s">
        <v>51</v>
      </c>
      <c r="C35" s="24">
        <f>35.4*0.25</f>
        <v>8.85</v>
      </c>
      <c r="D35" s="24" t="s">
        <v>37</v>
      </c>
      <c r="E35" s="25"/>
      <c r="F35" s="25">
        <f t="shared" si="2"/>
        <v>0</v>
      </c>
    </row>
    <row r="36" spans="1:6" ht="31.2" x14ac:dyDescent="0.3">
      <c r="A36" s="26">
        <v>2.1</v>
      </c>
      <c r="B36" s="12" t="s">
        <v>52</v>
      </c>
      <c r="C36" s="24">
        <f>16.3*1</f>
        <v>16.3</v>
      </c>
      <c r="D36" s="24" t="s">
        <v>37</v>
      </c>
      <c r="E36" s="25"/>
      <c r="F36" s="25">
        <f t="shared" si="2"/>
        <v>0</v>
      </c>
    </row>
    <row r="37" spans="1:6" ht="18" x14ac:dyDescent="0.3">
      <c r="A37" s="28"/>
      <c r="B37" s="21" t="s">
        <v>53</v>
      </c>
      <c r="C37" s="29"/>
      <c r="D37" s="29"/>
      <c r="E37" s="30"/>
      <c r="F37" s="31">
        <f>SUM(F27:F36)</f>
        <v>0</v>
      </c>
    </row>
    <row r="38" spans="1:6" ht="15.6" x14ac:dyDescent="0.3">
      <c r="A38" s="32"/>
      <c r="B38" s="37"/>
      <c r="C38" s="24"/>
      <c r="D38" s="24"/>
      <c r="E38" s="25"/>
      <c r="F38" s="25"/>
    </row>
    <row r="39" spans="1:6" ht="15.6" x14ac:dyDescent="0.3">
      <c r="A39" s="20">
        <v>3</v>
      </c>
      <c r="B39" s="21" t="s">
        <v>54</v>
      </c>
      <c r="C39" s="22"/>
      <c r="D39" s="22"/>
      <c r="E39" s="23"/>
      <c r="F39" s="23"/>
    </row>
    <row r="40" spans="1:6" ht="46.8" x14ac:dyDescent="0.3">
      <c r="A40" s="24">
        <v>3.1</v>
      </c>
      <c r="B40" s="11" t="s">
        <v>55</v>
      </c>
      <c r="C40" s="24">
        <v>60</v>
      </c>
      <c r="D40" s="24" t="s">
        <v>56</v>
      </c>
      <c r="E40" s="25"/>
      <c r="F40" s="25">
        <f>C40*E40</f>
        <v>0</v>
      </c>
    </row>
    <row r="41" spans="1:6" ht="46.8" x14ac:dyDescent="0.3">
      <c r="A41" s="24">
        <v>3.2</v>
      </c>
      <c r="B41" s="12" t="s">
        <v>57</v>
      </c>
      <c r="C41" s="24">
        <v>60</v>
      </c>
      <c r="D41" s="24" t="s">
        <v>56</v>
      </c>
      <c r="E41" s="25"/>
      <c r="F41" s="25">
        <f t="shared" ref="F41:F44" si="3">C41*E41</f>
        <v>0</v>
      </c>
    </row>
    <row r="42" spans="1:6" ht="46.8" x14ac:dyDescent="0.3">
      <c r="A42" s="24">
        <v>3.3</v>
      </c>
      <c r="B42" s="12" t="s">
        <v>58</v>
      </c>
      <c r="C42" s="24">
        <v>1</v>
      </c>
      <c r="D42" s="24" t="s">
        <v>59</v>
      </c>
      <c r="E42" s="25"/>
      <c r="F42" s="25">
        <f t="shared" si="3"/>
        <v>0</v>
      </c>
    </row>
    <row r="43" spans="1:6" ht="31.2" x14ac:dyDescent="0.3">
      <c r="A43" s="24">
        <v>3.4</v>
      </c>
      <c r="B43" s="12" t="s">
        <v>60</v>
      </c>
      <c r="C43" s="24">
        <v>1</v>
      </c>
      <c r="D43" s="24" t="s">
        <v>61</v>
      </c>
      <c r="E43" s="25"/>
      <c r="F43" s="25">
        <f t="shared" si="3"/>
        <v>0</v>
      </c>
    </row>
    <row r="44" spans="1:6" ht="46.8" x14ac:dyDescent="0.3">
      <c r="A44" s="24">
        <v>3.5</v>
      </c>
      <c r="B44" s="12" t="s">
        <v>62</v>
      </c>
      <c r="C44" s="24">
        <v>1</v>
      </c>
      <c r="D44" s="24" t="s">
        <v>61</v>
      </c>
      <c r="E44" s="25"/>
      <c r="F44" s="25">
        <f t="shared" si="3"/>
        <v>0</v>
      </c>
    </row>
    <row r="45" spans="1:6" ht="15.6" x14ac:dyDescent="0.3">
      <c r="A45" s="28"/>
      <c r="B45" s="21" t="s">
        <v>63</v>
      </c>
      <c r="C45" s="29"/>
      <c r="D45" s="29"/>
      <c r="E45" s="30"/>
      <c r="F45" s="23">
        <f>SUM(F40:F44)</f>
        <v>0</v>
      </c>
    </row>
    <row r="46" spans="1:6" ht="18" x14ac:dyDescent="0.3">
      <c r="A46" s="38"/>
      <c r="B46" s="100" t="s">
        <v>64</v>
      </c>
      <c r="C46" s="101"/>
      <c r="D46" s="101"/>
      <c r="E46" s="102"/>
      <c r="F46" s="39">
        <f>F24+F37+F45</f>
        <v>0</v>
      </c>
    </row>
    <row r="47" spans="1:6" ht="14.4" x14ac:dyDescent="0.3">
      <c r="A47" s="40"/>
      <c r="B47" s="41"/>
      <c r="C47" s="42"/>
      <c r="D47" s="42"/>
      <c r="E47" s="43"/>
      <c r="F47" s="44"/>
    </row>
    <row r="48" spans="1:6" ht="15.6" x14ac:dyDescent="0.3">
      <c r="A48" s="98" t="s">
        <v>65</v>
      </c>
      <c r="B48" s="103"/>
      <c r="C48" s="103"/>
      <c r="D48" s="103"/>
      <c r="E48" s="103"/>
      <c r="F48" s="99"/>
    </row>
    <row r="49" spans="1:6" ht="15.6" x14ac:dyDescent="0.3">
      <c r="A49" s="45" t="s">
        <v>29</v>
      </c>
      <c r="B49" s="21" t="s">
        <v>30</v>
      </c>
      <c r="C49" s="22" t="s">
        <v>31</v>
      </c>
      <c r="D49" s="22" t="s">
        <v>32</v>
      </c>
      <c r="E49" s="23" t="s">
        <v>33</v>
      </c>
      <c r="F49" s="23" t="s">
        <v>34</v>
      </c>
    </row>
    <row r="50" spans="1:6" ht="15.6" x14ac:dyDescent="0.3">
      <c r="A50" s="20">
        <v>1</v>
      </c>
      <c r="B50" s="21" t="s">
        <v>35</v>
      </c>
      <c r="C50" s="22"/>
      <c r="D50" s="22"/>
      <c r="E50" s="23"/>
      <c r="F50" s="23"/>
    </row>
    <row r="51" spans="1:6" ht="15.6" x14ac:dyDescent="0.3">
      <c r="A51" s="6">
        <v>1.1000000000000001</v>
      </c>
      <c r="B51" s="11" t="s">
        <v>36</v>
      </c>
      <c r="C51" s="24">
        <f>10.3*5.45</f>
        <v>56.135000000000005</v>
      </c>
      <c r="D51" s="24" t="s">
        <v>37</v>
      </c>
      <c r="E51" s="25"/>
      <c r="F51" s="25">
        <f>C51*E51</f>
        <v>0</v>
      </c>
    </row>
    <row r="52" spans="1:6" ht="46.8" x14ac:dyDescent="0.3">
      <c r="A52" s="6">
        <v>1.2</v>
      </c>
      <c r="B52" s="12" t="s">
        <v>66</v>
      </c>
      <c r="C52" s="26">
        <f>(14.6*0.6*1.2)</f>
        <v>10.511999999999999</v>
      </c>
      <c r="D52" s="24" t="s">
        <v>39</v>
      </c>
      <c r="E52" s="25"/>
      <c r="F52" s="25">
        <f t="shared" ref="F52:F53" si="4">C52*E52</f>
        <v>0</v>
      </c>
    </row>
    <row r="53" spans="1:6" ht="31.2" x14ac:dyDescent="0.3">
      <c r="A53" s="6">
        <v>1.3</v>
      </c>
      <c r="B53" s="27" t="s">
        <v>67</v>
      </c>
      <c r="C53" s="24">
        <f>(31.5*2*0.1)</f>
        <v>6.3000000000000007</v>
      </c>
      <c r="D53" s="24" t="s">
        <v>39</v>
      </c>
      <c r="E53" s="25"/>
      <c r="F53" s="25">
        <f t="shared" si="4"/>
        <v>0</v>
      </c>
    </row>
    <row r="54" spans="1:6" ht="18" x14ac:dyDescent="0.3">
      <c r="A54" s="28"/>
      <c r="B54" s="21" t="s">
        <v>41</v>
      </c>
      <c r="C54" s="29"/>
      <c r="D54" s="29"/>
      <c r="E54" s="30"/>
      <c r="F54" s="31">
        <f>SUM(F51:F53)</f>
        <v>0</v>
      </c>
    </row>
    <row r="55" spans="1:6" ht="15.6" x14ac:dyDescent="0.3">
      <c r="A55" s="32"/>
      <c r="B55" s="33"/>
      <c r="C55" s="24"/>
      <c r="D55" s="24"/>
      <c r="E55" s="34"/>
      <c r="F55" s="34"/>
    </row>
    <row r="56" spans="1:6" ht="15.6" x14ac:dyDescent="0.3">
      <c r="A56" s="20">
        <v>2</v>
      </c>
      <c r="B56" s="21" t="s">
        <v>42</v>
      </c>
      <c r="C56" s="22"/>
      <c r="D56" s="22"/>
      <c r="E56" s="23"/>
      <c r="F56" s="23"/>
    </row>
    <row r="57" spans="1:6" ht="31.2" x14ac:dyDescent="0.3">
      <c r="A57" s="24">
        <v>2.1</v>
      </c>
      <c r="B57" s="12" t="s">
        <v>43</v>
      </c>
      <c r="C57" s="35">
        <f>14.6*0.6*0.05</f>
        <v>0.438</v>
      </c>
      <c r="D57" s="24" t="s">
        <v>39</v>
      </c>
      <c r="E57" s="25"/>
      <c r="F57" s="25">
        <f>C57*E57</f>
        <v>0</v>
      </c>
    </row>
    <row r="58" spans="1:6" ht="46.8" x14ac:dyDescent="0.3">
      <c r="A58" s="24">
        <v>2.2000000000000002</v>
      </c>
      <c r="B58" s="12" t="s">
        <v>44</v>
      </c>
      <c r="C58" s="24">
        <f>14.6*0.6*0.2</f>
        <v>1.752</v>
      </c>
      <c r="D58" s="24" t="s">
        <v>39</v>
      </c>
      <c r="E58" s="25"/>
      <c r="F58" s="25">
        <f t="shared" ref="F58:F60" si="5">C58*E58</f>
        <v>0</v>
      </c>
    </row>
    <row r="59" spans="1:6" ht="46.8" x14ac:dyDescent="0.3">
      <c r="A59" s="24">
        <v>2.2999999999999998</v>
      </c>
      <c r="B59" s="12" t="s">
        <v>68</v>
      </c>
      <c r="C59" s="35">
        <f>14.6*1.2*0.2</f>
        <v>3.504</v>
      </c>
      <c r="D59" s="24" t="s">
        <v>39</v>
      </c>
      <c r="E59" s="25"/>
      <c r="F59" s="25">
        <f t="shared" si="5"/>
        <v>0</v>
      </c>
    </row>
    <row r="60" spans="1:6" ht="31.2" x14ac:dyDescent="0.3">
      <c r="A60" s="24">
        <v>2.4</v>
      </c>
      <c r="B60" s="12" t="s">
        <v>69</v>
      </c>
      <c r="C60" s="36">
        <f>(6*0.5*2*0.25)+(31.5*2*0.1)</f>
        <v>7.8000000000000007</v>
      </c>
      <c r="D60" s="24" t="s">
        <v>39</v>
      </c>
      <c r="E60" s="25"/>
      <c r="F60" s="25">
        <f t="shared" si="5"/>
        <v>0</v>
      </c>
    </row>
    <row r="61" spans="1:6" ht="31.2" x14ac:dyDescent="0.3">
      <c r="A61" s="24">
        <v>2.5</v>
      </c>
      <c r="B61" s="12" t="s">
        <v>47</v>
      </c>
      <c r="C61" s="36">
        <f>(1.45*6.3*0.05)+(31.5*2*0.05)</f>
        <v>3.6067500000000003</v>
      </c>
      <c r="D61" s="24" t="s">
        <v>39</v>
      </c>
      <c r="E61" s="25"/>
      <c r="F61" s="25">
        <f>C61*E61</f>
        <v>0</v>
      </c>
    </row>
    <row r="62" spans="1:6" ht="31.2" x14ac:dyDescent="0.3">
      <c r="A62" s="24">
        <v>2.6</v>
      </c>
      <c r="B62" s="12" t="s">
        <v>48</v>
      </c>
      <c r="C62" s="24">
        <f>(6*0.5*2*0.1)</f>
        <v>0.60000000000000009</v>
      </c>
      <c r="D62" s="24" t="s">
        <v>37</v>
      </c>
      <c r="E62" s="25"/>
      <c r="F62" s="25">
        <f>C62*E62</f>
        <v>0</v>
      </c>
    </row>
    <row r="63" spans="1:6" ht="46.8" x14ac:dyDescent="0.3">
      <c r="A63" s="24">
        <v>2.7</v>
      </c>
      <c r="B63" s="12" t="s">
        <v>70</v>
      </c>
      <c r="C63" s="35">
        <f>6.3*0.65</f>
        <v>4.0949999999999998</v>
      </c>
      <c r="D63" s="24" t="s">
        <v>37</v>
      </c>
      <c r="E63" s="34"/>
      <c r="F63" s="34">
        <f>C63*E63</f>
        <v>0</v>
      </c>
    </row>
    <row r="64" spans="1:6" ht="31.2" x14ac:dyDescent="0.3">
      <c r="A64" s="24">
        <v>2.8</v>
      </c>
      <c r="B64" s="11" t="s">
        <v>71</v>
      </c>
      <c r="C64" s="35">
        <f>(14.6*0.35*2)+(14.6*0.1)+(6.3*0.65*2)</f>
        <v>19.869999999999997</v>
      </c>
      <c r="D64" s="24" t="s">
        <v>37</v>
      </c>
      <c r="E64" s="34"/>
      <c r="F64" s="34">
        <f t="shared" ref="F64" si="6">C64*E64</f>
        <v>0</v>
      </c>
    </row>
    <row r="65" spans="1:6" ht="46.8" x14ac:dyDescent="0.3">
      <c r="A65" s="26">
        <v>2.9</v>
      </c>
      <c r="B65" s="12" t="s">
        <v>50</v>
      </c>
      <c r="C65" s="24">
        <f>31.5*0.1*2</f>
        <v>6.3000000000000007</v>
      </c>
      <c r="D65" s="24" t="s">
        <v>37</v>
      </c>
      <c r="E65" s="25"/>
      <c r="F65" s="25">
        <f>C65*E65</f>
        <v>0</v>
      </c>
    </row>
    <row r="66" spans="1:6" ht="31.2" x14ac:dyDescent="0.3">
      <c r="A66" s="26">
        <v>2.1</v>
      </c>
      <c r="B66" s="12" t="s">
        <v>51</v>
      </c>
      <c r="C66" s="24">
        <f>31.5*0.01</f>
        <v>0.315</v>
      </c>
      <c r="D66" s="24" t="s">
        <v>37</v>
      </c>
      <c r="E66" s="25"/>
      <c r="F66" s="25">
        <f t="shared" ref="F66:F67" si="7">C66*E66</f>
        <v>0</v>
      </c>
    </row>
    <row r="67" spans="1:6" ht="31.2" x14ac:dyDescent="0.3">
      <c r="A67" s="26">
        <v>2.1</v>
      </c>
      <c r="B67" s="12" t="s">
        <v>52</v>
      </c>
      <c r="C67" s="24">
        <f>14.6*0.45</f>
        <v>6.57</v>
      </c>
      <c r="D67" s="24" t="s">
        <v>37</v>
      </c>
      <c r="E67" s="25"/>
      <c r="F67" s="25">
        <f t="shared" si="7"/>
        <v>0</v>
      </c>
    </row>
    <row r="68" spans="1:6" ht="18" x14ac:dyDescent="0.3">
      <c r="A68" s="28"/>
      <c r="B68" s="21" t="s">
        <v>53</v>
      </c>
      <c r="C68" s="29"/>
      <c r="D68" s="29"/>
      <c r="E68" s="30"/>
      <c r="F68" s="31">
        <f>SUM(F57:F67)</f>
        <v>0</v>
      </c>
    </row>
    <row r="69" spans="1:6" ht="15.6" x14ac:dyDescent="0.3">
      <c r="A69" s="32"/>
      <c r="B69" s="37"/>
      <c r="C69" s="24"/>
      <c r="D69" s="24"/>
      <c r="E69" s="25"/>
      <c r="F69" s="25"/>
    </row>
    <row r="70" spans="1:6" ht="15.6" x14ac:dyDescent="0.3">
      <c r="A70" s="20">
        <v>3</v>
      </c>
      <c r="B70" s="21" t="s">
        <v>54</v>
      </c>
      <c r="C70" s="22"/>
      <c r="D70" s="22"/>
      <c r="E70" s="23"/>
      <c r="F70" s="23"/>
    </row>
    <row r="71" spans="1:6" ht="46.8" x14ac:dyDescent="0.3">
      <c r="A71" s="24">
        <v>3.1</v>
      </c>
      <c r="B71" s="11" t="s">
        <v>55</v>
      </c>
      <c r="C71" s="24">
        <v>60</v>
      </c>
      <c r="D71" s="24" t="s">
        <v>56</v>
      </c>
      <c r="E71" s="25"/>
      <c r="F71" s="25">
        <f>C71*E71</f>
        <v>0</v>
      </c>
    </row>
    <row r="72" spans="1:6" ht="46.8" x14ac:dyDescent="0.3">
      <c r="A72" s="24">
        <v>3.2</v>
      </c>
      <c r="B72" s="12" t="s">
        <v>57</v>
      </c>
      <c r="C72" s="24">
        <v>60</v>
      </c>
      <c r="D72" s="24" t="s">
        <v>56</v>
      </c>
      <c r="E72" s="25"/>
      <c r="F72" s="25">
        <f t="shared" ref="F72:F75" si="8">C72*E72</f>
        <v>0</v>
      </c>
    </row>
    <row r="73" spans="1:6" ht="46.8" x14ac:dyDescent="0.3">
      <c r="A73" s="24">
        <v>3.3</v>
      </c>
      <c r="B73" s="12" t="s">
        <v>58</v>
      </c>
      <c r="C73" s="24">
        <v>1</v>
      </c>
      <c r="D73" s="24" t="s">
        <v>59</v>
      </c>
      <c r="E73" s="25"/>
      <c r="F73" s="25">
        <f t="shared" si="8"/>
        <v>0</v>
      </c>
    </row>
    <row r="74" spans="1:6" ht="31.2" x14ac:dyDescent="0.3">
      <c r="A74" s="24">
        <v>3.4</v>
      </c>
      <c r="B74" s="12" t="s">
        <v>60</v>
      </c>
      <c r="C74" s="24">
        <v>1</v>
      </c>
      <c r="D74" s="24" t="s">
        <v>61</v>
      </c>
      <c r="E74" s="25"/>
      <c r="F74" s="25">
        <f t="shared" si="8"/>
        <v>0</v>
      </c>
    </row>
    <row r="75" spans="1:6" ht="46.8" x14ac:dyDescent="0.3">
      <c r="A75" s="24">
        <v>3.5</v>
      </c>
      <c r="B75" s="12" t="s">
        <v>62</v>
      </c>
      <c r="C75" s="24">
        <v>1</v>
      </c>
      <c r="D75" s="24" t="s">
        <v>61</v>
      </c>
      <c r="E75" s="25"/>
      <c r="F75" s="25">
        <f t="shared" si="8"/>
        <v>0</v>
      </c>
    </row>
    <row r="76" spans="1:6" ht="15.6" x14ac:dyDescent="0.3">
      <c r="A76" s="28"/>
      <c r="B76" s="46" t="s">
        <v>63</v>
      </c>
      <c r="C76" s="29"/>
      <c r="D76" s="29"/>
      <c r="E76" s="30"/>
      <c r="F76" s="23">
        <f>SUM(F71:F75)</f>
        <v>0</v>
      </c>
    </row>
    <row r="77" spans="1:6" ht="18" x14ac:dyDescent="0.3">
      <c r="A77" s="38"/>
      <c r="B77" s="100" t="s">
        <v>72</v>
      </c>
      <c r="C77" s="101"/>
      <c r="D77" s="101"/>
      <c r="E77" s="102"/>
      <c r="F77" s="39">
        <f>F54+F68+F76</f>
        <v>0</v>
      </c>
    </row>
    <row r="78" spans="1:6" ht="14.4" x14ac:dyDescent="0.3">
      <c r="A78" s="47"/>
      <c r="B78" s="48"/>
      <c r="C78" s="49"/>
      <c r="D78" s="49"/>
      <c r="E78" s="50"/>
      <c r="F78" s="50"/>
    </row>
    <row r="79" spans="1:6" ht="14.4" x14ac:dyDescent="0.3">
      <c r="A79" s="104" t="s">
        <v>73</v>
      </c>
      <c r="B79" s="105"/>
      <c r="C79" s="105"/>
      <c r="D79" s="105"/>
      <c r="E79" s="105"/>
      <c r="F79" s="106"/>
    </row>
    <row r="80" spans="1:6" ht="15.6" x14ac:dyDescent="0.3">
      <c r="A80" s="45" t="s">
        <v>29</v>
      </c>
      <c r="B80" s="21" t="s">
        <v>30</v>
      </c>
      <c r="C80" s="22" t="s">
        <v>31</v>
      </c>
      <c r="D80" s="22" t="s">
        <v>32</v>
      </c>
      <c r="E80" s="23" t="s">
        <v>33</v>
      </c>
      <c r="F80" s="23" t="s">
        <v>74</v>
      </c>
    </row>
    <row r="81" spans="1:6" ht="15.6" x14ac:dyDescent="0.3">
      <c r="A81" s="20">
        <v>1</v>
      </c>
      <c r="B81" s="21" t="s">
        <v>35</v>
      </c>
      <c r="C81" s="22"/>
      <c r="D81" s="22"/>
      <c r="E81" s="23"/>
      <c r="F81" s="23"/>
    </row>
    <row r="82" spans="1:6" ht="15.6" x14ac:dyDescent="0.3">
      <c r="A82" s="6">
        <v>1.1000000000000001</v>
      </c>
      <c r="B82" s="12" t="s">
        <v>75</v>
      </c>
      <c r="C82" s="24">
        <f>9.5*6.8</f>
        <v>64.599999999999994</v>
      </c>
      <c r="D82" s="24" t="s">
        <v>37</v>
      </c>
      <c r="E82" s="25"/>
      <c r="F82" s="25">
        <f>C82*E82</f>
        <v>0</v>
      </c>
    </row>
    <row r="83" spans="1:6" ht="31.2" x14ac:dyDescent="0.3">
      <c r="A83" s="6">
        <v>1.2</v>
      </c>
      <c r="B83" s="12" t="s">
        <v>76</v>
      </c>
      <c r="C83" s="24">
        <v>1</v>
      </c>
      <c r="D83" s="24" t="s">
        <v>61</v>
      </c>
      <c r="E83" s="25"/>
      <c r="F83" s="25">
        <f t="shared" ref="F83:F90" si="9">C83*E83</f>
        <v>0</v>
      </c>
    </row>
    <row r="84" spans="1:6" ht="46.8" x14ac:dyDescent="0.3">
      <c r="A84" s="24">
        <v>1.3</v>
      </c>
      <c r="B84" s="12" t="s">
        <v>77</v>
      </c>
      <c r="C84" s="24">
        <v>20</v>
      </c>
      <c r="D84" s="24" t="s">
        <v>56</v>
      </c>
      <c r="E84" s="25"/>
      <c r="F84" s="25">
        <f t="shared" si="9"/>
        <v>0</v>
      </c>
    </row>
    <row r="85" spans="1:6" ht="46.8" x14ac:dyDescent="0.3">
      <c r="A85" s="6">
        <v>1.4</v>
      </c>
      <c r="B85" s="12" t="s">
        <v>78</v>
      </c>
      <c r="C85" s="24">
        <v>20</v>
      </c>
      <c r="D85" s="24" t="s">
        <v>56</v>
      </c>
      <c r="E85" s="25"/>
      <c r="F85" s="25">
        <f t="shared" si="9"/>
        <v>0</v>
      </c>
    </row>
    <row r="86" spans="1:6" ht="15.6" x14ac:dyDescent="0.3">
      <c r="A86" s="6"/>
      <c r="B86" s="51" t="s">
        <v>79</v>
      </c>
      <c r="C86" s="24"/>
      <c r="D86" s="24"/>
      <c r="E86" s="25"/>
      <c r="F86" s="25"/>
    </row>
    <row r="87" spans="1:6" ht="15.6" x14ac:dyDescent="0.3">
      <c r="A87" s="6">
        <v>1.5</v>
      </c>
      <c r="B87" s="12" t="s">
        <v>80</v>
      </c>
      <c r="C87" s="26">
        <f>3.14*0.5*0.5*1.5</f>
        <v>1.1775</v>
      </c>
      <c r="D87" s="24" t="s">
        <v>39</v>
      </c>
      <c r="E87" s="25"/>
      <c r="F87" s="25">
        <f>C87*E87</f>
        <v>0</v>
      </c>
    </row>
    <row r="88" spans="1:6" ht="15.6" x14ac:dyDescent="0.3">
      <c r="A88" s="6">
        <v>1.6</v>
      </c>
      <c r="B88" s="12" t="s">
        <v>81</v>
      </c>
      <c r="C88" s="52">
        <f>3.14*0.5*0.5*1.3</f>
        <v>1.0205000000000002</v>
      </c>
      <c r="D88" s="24" t="s">
        <v>39</v>
      </c>
      <c r="E88" s="25"/>
      <c r="F88" s="25">
        <f t="shared" si="9"/>
        <v>0</v>
      </c>
    </row>
    <row r="89" spans="1:6" ht="31.2" x14ac:dyDescent="0.3">
      <c r="A89" s="6">
        <v>1.7</v>
      </c>
      <c r="B89" s="12" t="s">
        <v>82</v>
      </c>
      <c r="C89" s="24">
        <v>1</v>
      </c>
      <c r="D89" s="24" t="s">
        <v>61</v>
      </c>
      <c r="E89" s="25"/>
      <c r="F89" s="25">
        <f t="shared" si="9"/>
        <v>0</v>
      </c>
    </row>
    <row r="90" spans="1:6" ht="15.6" x14ac:dyDescent="0.3">
      <c r="A90" s="6">
        <v>1.7</v>
      </c>
      <c r="B90" s="12" t="s">
        <v>83</v>
      </c>
      <c r="C90" s="24">
        <v>1</v>
      </c>
      <c r="D90" s="24" t="s">
        <v>61</v>
      </c>
      <c r="E90" s="25"/>
      <c r="F90" s="25">
        <f t="shared" si="9"/>
        <v>0</v>
      </c>
    </row>
    <row r="91" spans="1:6" ht="15.6" x14ac:dyDescent="0.3">
      <c r="A91" s="53"/>
      <c r="B91" s="21" t="s">
        <v>84</v>
      </c>
      <c r="C91" s="54"/>
      <c r="D91" s="54"/>
      <c r="E91" s="55"/>
      <c r="F91" s="23">
        <f>SUM(F82:F90)</f>
        <v>0</v>
      </c>
    </row>
    <row r="92" spans="1:6" ht="18" x14ac:dyDescent="0.3">
      <c r="A92" s="56"/>
      <c r="B92" s="107" t="s">
        <v>85</v>
      </c>
      <c r="C92" s="108"/>
      <c r="D92" s="109"/>
      <c r="E92" s="57">
        <v>4</v>
      </c>
      <c r="F92" s="39">
        <f>F91*E92</f>
        <v>0</v>
      </c>
    </row>
    <row r="93" spans="1:6" ht="14.4" x14ac:dyDescent="0.3">
      <c r="A93" s="110"/>
      <c r="B93" s="111"/>
      <c r="C93" s="111"/>
      <c r="D93" s="111"/>
      <c r="E93" s="111"/>
      <c r="F93" s="112"/>
    </row>
    <row r="94" spans="1:6" ht="15.6" x14ac:dyDescent="0.3">
      <c r="A94" s="85" t="s">
        <v>86</v>
      </c>
      <c r="B94" s="86"/>
      <c r="C94" s="86"/>
      <c r="D94" s="86"/>
      <c r="E94" s="86"/>
      <c r="F94" s="87"/>
    </row>
    <row r="95" spans="1:6" ht="15.6" x14ac:dyDescent="0.3">
      <c r="A95" s="45" t="s">
        <v>29</v>
      </c>
      <c r="B95" s="21" t="s">
        <v>30</v>
      </c>
      <c r="C95" s="22" t="s">
        <v>31</v>
      </c>
      <c r="D95" s="22" t="s">
        <v>32</v>
      </c>
      <c r="E95" s="23" t="s">
        <v>33</v>
      </c>
      <c r="F95" s="23" t="s">
        <v>74</v>
      </c>
    </row>
    <row r="96" spans="1:6" ht="15.6" x14ac:dyDescent="0.3">
      <c r="A96" s="20">
        <v>1</v>
      </c>
      <c r="B96" s="21" t="s">
        <v>35</v>
      </c>
      <c r="C96" s="22"/>
      <c r="D96" s="22"/>
      <c r="E96" s="23"/>
      <c r="F96" s="23"/>
    </row>
    <row r="97" spans="1:6" ht="15.6" x14ac:dyDescent="0.3">
      <c r="A97" s="58">
        <v>1.1000000000000001</v>
      </c>
      <c r="B97" s="12" t="s">
        <v>36</v>
      </c>
      <c r="C97" s="24">
        <f>(10*10)</f>
        <v>100</v>
      </c>
      <c r="D97" s="24" t="s">
        <v>37</v>
      </c>
      <c r="E97" s="25"/>
      <c r="F97" s="25">
        <f>C97*E97</f>
        <v>0</v>
      </c>
    </row>
    <row r="98" spans="1:6" ht="46.8" x14ac:dyDescent="0.3">
      <c r="A98" s="58">
        <v>1.2</v>
      </c>
      <c r="B98" s="12" t="s">
        <v>87</v>
      </c>
      <c r="C98" s="24">
        <f>(103.56)*2</f>
        <v>207.12</v>
      </c>
      <c r="D98" s="24" t="s">
        <v>37</v>
      </c>
      <c r="E98" s="25"/>
      <c r="F98" s="25">
        <f t="shared" ref="F98:F104" si="10">C98*E98</f>
        <v>0</v>
      </c>
    </row>
    <row r="99" spans="1:6" ht="31.2" x14ac:dyDescent="0.3">
      <c r="A99" s="58">
        <v>1.3</v>
      </c>
      <c r="B99" s="12" t="s">
        <v>88</v>
      </c>
      <c r="C99" s="24">
        <f>18*1.8*2</f>
        <v>64.8</v>
      </c>
      <c r="D99" s="24" t="s">
        <v>37</v>
      </c>
      <c r="E99" s="25"/>
      <c r="F99" s="25">
        <f t="shared" si="10"/>
        <v>0</v>
      </c>
    </row>
    <row r="100" spans="1:6" ht="46.8" x14ac:dyDescent="0.3">
      <c r="A100" s="58">
        <v>1.4</v>
      </c>
      <c r="B100" s="12" t="s">
        <v>89</v>
      </c>
      <c r="C100" s="24">
        <v>5</v>
      </c>
      <c r="D100" s="24" t="s">
        <v>61</v>
      </c>
      <c r="E100" s="25"/>
      <c r="F100" s="25">
        <f t="shared" si="10"/>
        <v>0</v>
      </c>
    </row>
    <row r="101" spans="1:6" ht="31.2" x14ac:dyDescent="0.3">
      <c r="A101" s="58">
        <v>1.5</v>
      </c>
      <c r="B101" s="12" t="s">
        <v>90</v>
      </c>
      <c r="C101" s="24">
        <v>2</v>
      </c>
      <c r="D101" s="24" t="s">
        <v>61</v>
      </c>
      <c r="E101" s="25"/>
      <c r="F101" s="25">
        <f t="shared" si="10"/>
        <v>0</v>
      </c>
    </row>
    <row r="102" spans="1:6" ht="31.2" x14ac:dyDescent="0.3">
      <c r="A102" s="58">
        <v>1.6</v>
      </c>
      <c r="B102" s="12" t="s">
        <v>91</v>
      </c>
      <c r="C102" s="24">
        <f>((18*1.8)+(1.6*4*12)+(18*1.2*2)+(4.5*4.5))*2</f>
        <v>345.3</v>
      </c>
      <c r="D102" s="24" t="s">
        <v>37</v>
      </c>
      <c r="E102" s="25"/>
      <c r="F102" s="25">
        <f t="shared" si="10"/>
        <v>0</v>
      </c>
    </row>
    <row r="103" spans="1:6" ht="31.2" x14ac:dyDescent="0.3">
      <c r="A103" s="58">
        <v>1.7</v>
      </c>
      <c r="B103" s="12" t="s">
        <v>92</v>
      </c>
      <c r="C103" s="24">
        <v>2</v>
      </c>
      <c r="D103" s="24" t="s">
        <v>29</v>
      </c>
      <c r="E103" s="25"/>
      <c r="F103" s="25">
        <f t="shared" si="10"/>
        <v>0</v>
      </c>
    </row>
    <row r="104" spans="1:6" ht="46.8" x14ac:dyDescent="0.3">
      <c r="A104" s="58">
        <v>1.9</v>
      </c>
      <c r="B104" s="12" t="s">
        <v>93</v>
      </c>
      <c r="C104" s="24">
        <v>2</v>
      </c>
      <c r="D104" s="24" t="s">
        <v>29</v>
      </c>
      <c r="E104" s="25"/>
      <c r="F104" s="25">
        <f t="shared" si="10"/>
        <v>0</v>
      </c>
    </row>
    <row r="105" spans="1:6" ht="18" x14ac:dyDescent="0.3">
      <c r="A105" s="56"/>
      <c r="B105" s="107" t="s">
        <v>94</v>
      </c>
      <c r="C105" s="108"/>
      <c r="D105" s="108"/>
      <c r="E105" s="109"/>
      <c r="F105" s="39">
        <f>SUM(F97:F104)</f>
        <v>0</v>
      </c>
    </row>
    <row r="106" spans="1:6" ht="14.4" x14ac:dyDescent="0.3">
      <c r="A106" s="59"/>
      <c r="B106" s="60"/>
      <c r="C106" s="61"/>
      <c r="D106" s="61"/>
      <c r="E106" s="62"/>
      <c r="F106" s="62"/>
    </row>
    <row r="107" spans="1:6" ht="15.6" x14ac:dyDescent="0.3">
      <c r="A107" s="98" t="s">
        <v>95</v>
      </c>
      <c r="B107" s="103"/>
      <c r="C107" s="103"/>
      <c r="D107" s="103"/>
      <c r="E107" s="103"/>
      <c r="F107" s="103"/>
    </row>
    <row r="108" spans="1:6" ht="15.6" x14ac:dyDescent="0.3">
      <c r="A108" s="45" t="s">
        <v>29</v>
      </c>
      <c r="B108" s="21" t="s">
        <v>30</v>
      </c>
      <c r="C108" s="22" t="s">
        <v>31</v>
      </c>
      <c r="D108" s="22" t="s">
        <v>32</v>
      </c>
      <c r="E108" s="23" t="s">
        <v>33</v>
      </c>
      <c r="F108" s="23" t="s">
        <v>74</v>
      </c>
    </row>
    <row r="109" spans="1:6" ht="15.6" x14ac:dyDescent="0.3">
      <c r="A109" s="20">
        <v>1</v>
      </c>
      <c r="B109" s="21" t="s">
        <v>35</v>
      </c>
      <c r="C109" s="22"/>
      <c r="D109" s="22"/>
      <c r="E109" s="23"/>
      <c r="F109" s="23"/>
    </row>
    <row r="110" spans="1:6" ht="31.2" x14ac:dyDescent="0.3">
      <c r="A110" s="6">
        <v>1.1000000000000001</v>
      </c>
      <c r="B110" s="12" t="s">
        <v>96</v>
      </c>
      <c r="C110" s="24">
        <f>6.5*3</f>
        <v>19.5</v>
      </c>
      <c r="D110" s="24" t="s">
        <v>37</v>
      </c>
      <c r="E110" s="25"/>
      <c r="F110" s="25">
        <f>C110*E110</f>
        <v>0</v>
      </c>
    </row>
    <row r="111" spans="1:6" ht="46.8" x14ac:dyDescent="0.3">
      <c r="A111" s="6">
        <v>1.2</v>
      </c>
      <c r="B111" s="12" t="s">
        <v>97</v>
      </c>
      <c r="C111" s="24">
        <f>22*0.5*0.8</f>
        <v>8.8000000000000007</v>
      </c>
      <c r="D111" s="24" t="s">
        <v>39</v>
      </c>
      <c r="E111" s="25"/>
      <c r="F111" s="25">
        <f t="shared" ref="F111:F112" si="11">C111*E111</f>
        <v>0</v>
      </c>
    </row>
    <row r="112" spans="1:6" ht="15.6" x14ac:dyDescent="0.3">
      <c r="A112" s="6">
        <v>1.3</v>
      </c>
      <c r="B112" s="12" t="s">
        <v>98</v>
      </c>
      <c r="C112" s="26">
        <f>1.2*1.2*1.2*4</f>
        <v>6.9119999999999999</v>
      </c>
      <c r="D112" s="24" t="s">
        <v>39</v>
      </c>
      <c r="E112" s="25"/>
      <c r="F112" s="25">
        <f t="shared" si="11"/>
        <v>0</v>
      </c>
    </row>
    <row r="113" spans="1:6" ht="18" x14ac:dyDescent="0.3">
      <c r="A113" s="53"/>
      <c r="B113" s="21" t="s">
        <v>41</v>
      </c>
      <c r="C113" s="54"/>
      <c r="D113" s="54"/>
      <c r="E113" s="55"/>
      <c r="F113" s="31">
        <f>SUM(F110:F112)</f>
        <v>0</v>
      </c>
    </row>
    <row r="114" spans="1:6" ht="14.4" x14ac:dyDescent="0.3">
      <c r="A114" s="63"/>
      <c r="B114" s="64"/>
      <c r="C114" s="65"/>
      <c r="D114" s="49"/>
      <c r="E114" s="50"/>
      <c r="F114" s="50"/>
    </row>
    <row r="115" spans="1:6" ht="15.6" x14ac:dyDescent="0.3">
      <c r="A115" s="20">
        <v>2</v>
      </c>
      <c r="B115" s="21" t="s">
        <v>99</v>
      </c>
      <c r="C115" s="22"/>
      <c r="D115" s="22"/>
      <c r="E115" s="23"/>
      <c r="F115" s="23"/>
    </row>
    <row r="116" spans="1:6" ht="31.2" x14ac:dyDescent="0.3">
      <c r="A116" s="6">
        <v>2.1</v>
      </c>
      <c r="B116" s="12" t="s">
        <v>100</v>
      </c>
      <c r="C116" s="26">
        <f>((1.2*1.2*4)+(22*0.5))*0.05</f>
        <v>0.83799999999999997</v>
      </c>
      <c r="D116" s="24" t="s">
        <v>39</v>
      </c>
      <c r="E116" s="34"/>
      <c r="F116" s="34">
        <f>C116*E116</f>
        <v>0</v>
      </c>
    </row>
    <row r="117" spans="1:6" ht="46.8" x14ac:dyDescent="0.3">
      <c r="A117" s="6">
        <v>2.1</v>
      </c>
      <c r="B117" s="12" t="s">
        <v>44</v>
      </c>
      <c r="C117" s="24">
        <f>22*0.4*0.2</f>
        <v>1.7600000000000002</v>
      </c>
      <c r="D117" s="24" t="s">
        <v>39</v>
      </c>
      <c r="E117" s="34"/>
      <c r="F117" s="34">
        <f t="shared" ref="F117:F124" si="12">C117*E117</f>
        <v>0</v>
      </c>
    </row>
    <row r="118" spans="1:6" ht="31.2" x14ac:dyDescent="0.3">
      <c r="A118" s="6">
        <v>2.2999999999999998</v>
      </c>
      <c r="B118" s="12" t="s">
        <v>101</v>
      </c>
      <c r="C118" s="24">
        <f>1.2*1.2*0.35*4</f>
        <v>2.016</v>
      </c>
      <c r="D118" s="24" t="s">
        <v>39</v>
      </c>
      <c r="E118" s="34"/>
      <c r="F118" s="34">
        <f t="shared" si="12"/>
        <v>0</v>
      </c>
    </row>
    <row r="119" spans="1:6" ht="46.8" x14ac:dyDescent="0.3">
      <c r="A119" s="6">
        <v>2.4</v>
      </c>
      <c r="B119" s="12" t="s">
        <v>102</v>
      </c>
      <c r="C119" s="24">
        <f>0.3*0.2*1.25*4</f>
        <v>0.3</v>
      </c>
      <c r="D119" s="24" t="s">
        <v>39</v>
      </c>
      <c r="E119" s="34"/>
      <c r="F119" s="34">
        <f t="shared" si="12"/>
        <v>0</v>
      </c>
    </row>
    <row r="120" spans="1:6" ht="31.2" x14ac:dyDescent="0.3">
      <c r="A120" s="6">
        <v>2.5</v>
      </c>
      <c r="B120" s="12" t="s">
        <v>103</v>
      </c>
      <c r="C120" s="24">
        <f>22*0.4*1.05</f>
        <v>9.240000000000002</v>
      </c>
      <c r="D120" s="24" t="s">
        <v>39</v>
      </c>
      <c r="E120" s="34"/>
      <c r="F120" s="34">
        <f t="shared" si="12"/>
        <v>0</v>
      </c>
    </row>
    <row r="121" spans="1:6" ht="46.8" x14ac:dyDescent="0.3">
      <c r="A121" s="6">
        <v>2.6</v>
      </c>
      <c r="B121" s="12" t="s">
        <v>104</v>
      </c>
      <c r="C121" s="26">
        <f>22*0.4*0.2</f>
        <v>1.7600000000000002</v>
      </c>
      <c r="D121" s="24" t="s">
        <v>39</v>
      </c>
      <c r="E121" s="25"/>
      <c r="F121" s="34">
        <f t="shared" si="12"/>
        <v>0</v>
      </c>
    </row>
    <row r="122" spans="1:6" ht="46.8" x14ac:dyDescent="0.3">
      <c r="A122" s="6">
        <v>2.7</v>
      </c>
      <c r="B122" s="12" t="s">
        <v>105</v>
      </c>
      <c r="C122" s="26">
        <f>6*3*0.3</f>
        <v>5.3999999999999995</v>
      </c>
      <c r="D122" s="24" t="s">
        <v>39</v>
      </c>
      <c r="E122" s="25"/>
      <c r="F122" s="34">
        <f t="shared" si="12"/>
        <v>0</v>
      </c>
    </row>
    <row r="123" spans="1:6" ht="31.2" x14ac:dyDescent="0.3">
      <c r="A123" s="6">
        <v>2.8</v>
      </c>
      <c r="B123" s="12" t="s">
        <v>106</v>
      </c>
      <c r="C123" s="26">
        <f>6*3*0.2</f>
        <v>3.6</v>
      </c>
      <c r="D123" s="24" t="s">
        <v>39</v>
      </c>
      <c r="E123" s="25"/>
      <c r="F123" s="34">
        <f t="shared" si="12"/>
        <v>0</v>
      </c>
    </row>
    <row r="124" spans="1:6" ht="46.8" x14ac:dyDescent="0.3">
      <c r="A124" s="6">
        <v>2.9</v>
      </c>
      <c r="B124" s="12" t="s">
        <v>107</v>
      </c>
      <c r="C124" s="26">
        <f>(3*6*0.1)+(2.5*1.5*0.1)</f>
        <v>2.1749999999999998</v>
      </c>
      <c r="D124" s="24" t="s">
        <v>39</v>
      </c>
      <c r="E124" s="25"/>
      <c r="F124" s="34">
        <f t="shared" si="12"/>
        <v>0</v>
      </c>
    </row>
    <row r="125" spans="1:6" ht="18" x14ac:dyDescent="0.3">
      <c r="A125" s="53"/>
      <c r="B125" s="21" t="s">
        <v>108</v>
      </c>
      <c r="C125" s="54"/>
      <c r="D125" s="54"/>
      <c r="E125" s="55"/>
      <c r="F125" s="31">
        <f>SUM(F116:F124)</f>
        <v>0</v>
      </c>
    </row>
    <row r="126" spans="1:6" ht="15.6" x14ac:dyDescent="0.3">
      <c r="A126" s="47"/>
      <c r="B126" s="33"/>
      <c r="C126" s="49"/>
      <c r="D126" s="49"/>
      <c r="E126" s="66"/>
      <c r="F126" s="66"/>
    </row>
    <row r="127" spans="1:6" ht="15.6" x14ac:dyDescent="0.3">
      <c r="A127" s="20">
        <v>3</v>
      </c>
      <c r="B127" s="116" t="s">
        <v>109</v>
      </c>
      <c r="C127" s="117"/>
      <c r="D127" s="118"/>
      <c r="E127" s="23"/>
      <c r="F127" s="23"/>
    </row>
    <row r="128" spans="1:6" ht="15.6" x14ac:dyDescent="0.3">
      <c r="A128" s="24">
        <v>3.1</v>
      </c>
      <c r="B128" s="12" t="s">
        <v>110</v>
      </c>
      <c r="C128" s="26">
        <f>0.3*0.2*3.6*4</f>
        <v>0.86399999999999999</v>
      </c>
      <c r="D128" s="24" t="s">
        <v>39</v>
      </c>
      <c r="E128" s="25"/>
      <c r="F128" s="25">
        <f>C128*E128</f>
        <v>0</v>
      </c>
    </row>
    <row r="129" spans="1:6" ht="78" x14ac:dyDescent="0.3">
      <c r="A129" s="24">
        <v>3.2</v>
      </c>
      <c r="B129" s="12" t="s">
        <v>111</v>
      </c>
      <c r="C129" s="26">
        <f>(22*3.6)-(2*2.4)-(2.5*2.2*2)-(1.2*1.2)-(1.2*2.4)</f>
        <v>59.080000000000005</v>
      </c>
      <c r="D129" s="24" t="s">
        <v>39</v>
      </c>
      <c r="E129" s="25"/>
      <c r="F129" s="25">
        <f t="shared" ref="F129:F131" si="13">C129*E129</f>
        <v>0</v>
      </c>
    </row>
    <row r="130" spans="1:6" ht="93.6" x14ac:dyDescent="0.3">
      <c r="A130" s="24">
        <v>3.3</v>
      </c>
      <c r="B130" s="12" t="s">
        <v>112</v>
      </c>
      <c r="C130" s="26">
        <f>2.5*2.2*2</f>
        <v>11</v>
      </c>
      <c r="D130" s="24" t="s">
        <v>37</v>
      </c>
      <c r="E130" s="25"/>
      <c r="F130" s="25">
        <f t="shared" si="13"/>
        <v>0</v>
      </c>
    </row>
    <row r="131" spans="1:6" ht="62.4" x14ac:dyDescent="0.3">
      <c r="A131" s="24">
        <v>3.4</v>
      </c>
      <c r="B131" s="12" t="s">
        <v>113</v>
      </c>
      <c r="C131" s="26">
        <f>22*0.2*0.15*2</f>
        <v>1.32</v>
      </c>
      <c r="D131" s="24" t="s">
        <v>39</v>
      </c>
      <c r="E131" s="25"/>
      <c r="F131" s="25">
        <f t="shared" si="13"/>
        <v>0</v>
      </c>
    </row>
    <row r="132" spans="1:6" ht="18" x14ac:dyDescent="0.3">
      <c r="A132" s="20"/>
      <c r="B132" s="116" t="s">
        <v>114</v>
      </c>
      <c r="C132" s="117"/>
      <c r="D132" s="118"/>
      <c r="E132" s="23"/>
      <c r="F132" s="31">
        <f>SUM(F128:F131)</f>
        <v>0</v>
      </c>
    </row>
    <row r="133" spans="1:6" ht="14.4" x14ac:dyDescent="0.3">
      <c r="A133" s="47"/>
      <c r="B133" s="64"/>
      <c r="C133" s="65"/>
      <c r="D133" s="49"/>
      <c r="E133" s="50"/>
      <c r="F133" s="50"/>
    </row>
    <row r="134" spans="1:6" ht="15.6" x14ac:dyDescent="0.3">
      <c r="A134" s="20">
        <v>4</v>
      </c>
      <c r="B134" s="116" t="s">
        <v>115</v>
      </c>
      <c r="C134" s="117"/>
      <c r="D134" s="118"/>
      <c r="E134" s="23"/>
      <c r="F134" s="23"/>
    </row>
    <row r="135" spans="1:6" ht="31.2" x14ac:dyDescent="0.3">
      <c r="A135" s="24">
        <v>4.0999999999999996</v>
      </c>
      <c r="B135" s="12" t="s">
        <v>116</v>
      </c>
      <c r="C135" s="26">
        <v>1</v>
      </c>
      <c r="D135" s="26" t="s">
        <v>29</v>
      </c>
      <c r="E135" s="50"/>
      <c r="F135" s="50">
        <f>C135*E135</f>
        <v>0</v>
      </c>
    </row>
    <row r="136" spans="1:6" ht="31.2" x14ac:dyDescent="0.3">
      <c r="A136" s="24">
        <v>4.2</v>
      </c>
      <c r="B136" s="12" t="s">
        <v>117</v>
      </c>
      <c r="C136" s="26">
        <v>1</v>
      </c>
      <c r="D136" s="26" t="s">
        <v>29</v>
      </c>
      <c r="E136" s="50"/>
      <c r="F136" s="50">
        <f t="shared" ref="F136:F137" si="14">C136*E136</f>
        <v>0</v>
      </c>
    </row>
    <row r="137" spans="1:6" ht="31.2" x14ac:dyDescent="0.3">
      <c r="A137" s="24">
        <v>4.3</v>
      </c>
      <c r="B137" s="12" t="s">
        <v>118</v>
      </c>
      <c r="C137" s="26">
        <v>1</v>
      </c>
      <c r="D137" s="26" t="s">
        <v>29</v>
      </c>
      <c r="E137" s="50"/>
      <c r="F137" s="50">
        <f t="shared" si="14"/>
        <v>0</v>
      </c>
    </row>
    <row r="138" spans="1:6" ht="18" x14ac:dyDescent="0.3">
      <c r="A138" s="20"/>
      <c r="B138" s="116" t="s">
        <v>119</v>
      </c>
      <c r="C138" s="117"/>
      <c r="D138" s="118"/>
      <c r="E138" s="23"/>
      <c r="F138" s="31">
        <f>SUM(F135:F137)</f>
        <v>0</v>
      </c>
    </row>
    <row r="139" spans="1:6" ht="14.4" x14ac:dyDescent="0.3">
      <c r="A139" s="47"/>
      <c r="B139" s="64"/>
      <c r="C139" s="65"/>
      <c r="D139" s="49"/>
      <c r="E139" s="50"/>
      <c r="F139" s="50"/>
    </row>
    <row r="140" spans="1:6" ht="15.6" x14ac:dyDescent="0.3">
      <c r="A140" s="20">
        <v>5</v>
      </c>
      <c r="B140" s="116" t="s">
        <v>120</v>
      </c>
      <c r="C140" s="117"/>
      <c r="D140" s="118"/>
      <c r="E140" s="23"/>
      <c r="F140" s="23"/>
    </row>
    <row r="141" spans="1:6" ht="15.6" x14ac:dyDescent="0.3">
      <c r="A141" s="32"/>
      <c r="B141" s="51" t="s">
        <v>121</v>
      </c>
      <c r="C141" s="65"/>
      <c r="D141" s="49"/>
      <c r="E141" s="50"/>
      <c r="F141" s="50"/>
    </row>
    <row r="142" spans="1:6" ht="46.8" x14ac:dyDescent="0.3">
      <c r="A142" s="24">
        <v>5.0999999999999996</v>
      </c>
      <c r="B142" s="12" t="s">
        <v>122</v>
      </c>
      <c r="C142" s="24">
        <f>C129+(22*0.6)</f>
        <v>72.28</v>
      </c>
      <c r="D142" s="24" t="s">
        <v>37</v>
      </c>
      <c r="E142" s="25"/>
      <c r="F142" s="25">
        <f>C142*E142</f>
        <v>0</v>
      </c>
    </row>
    <row r="143" spans="1:6" ht="31.2" x14ac:dyDescent="0.3">
      <c r="A143" s="26">
        <v>5.2</v>
      </c>
      <c r="B143" s="12" t="s">
        <v>123</v>
      </c>
      <c r="C143" s="24">
        <f>C142</f>
        <v>72.28</v>
      </c>
      <c r="D143" s="24" t="s">
        <v>37</v>
      </c>
      <c r="E143" s="25"/>
      <c r="F143" s="25">
        <f t="shared" ref="F143:F145" si="15">C143*E143</f>
        <v>0</v>
      </c>
    </row>
    <row r="144" spans="1:6" ht="15.6" x14ac:dyDescent="0.3">
      <c r="A144" s="24"/>
      <c r="B144" s="51" t="s">
        <v>124</v>
      </c>
      <c r="C144" s="26"/>
      <c r="D144" s="24"/>
      <c r="E144" s="25"/>
      <c r="F144" s="25">
        <f t="shared" si="15"/>
        <v>0</v>
      </c>
    </row>
    <row r="145" spans="1:6" ht="31.2" x14ac:dyDescent="0.3">
      <c r="A145" s="26">
        <v>5.3</v>
      </c>
      <c r="B145" s="12" t="s">
        <v>125</v>
      </c>
      <c r="C145" s="24">
        <f>6*3</f>
        <v>18</v>
      </c>
      <c r="D145" s="24" t="s">
        <v>37</v>
      </c>
      <c r="E145" s="25"/>
      <c r="F145" s="25">
        <f t="shared" si="15"/>
        <v>0</v>
      </c>
    </row>
    <row r="146" spans="1:6" ht="18" x14ac:dyDescent="0.3">
      <c r="A146" s="53"/>
      <c r="B146" s="21" t="s">
        <v>126</v>
      </c>
      <c r="C146" s="54"/>
      <c r="D146" s="54"/>
      <c r="E146" s="55"/>
      <c r="F146" s="31">
        <f>SUM(F142:F145)</f>
        <v>0</v>
      </c>
    </row>
    <row r="147" spans="1:6" ht="14.4" x14ac:dyDescent="0.3">
      <c r="A147" s="47"/>
      <c r="B147" s="48"/>
      <c r="C147" s="49"/>
      <c r="D147" s="49"/>
      <c r="E147" s="50"/>
      <c r="F147" s="50"/>
    </row>
    <row r="148" spans="1:6" ht="15.6" x14ac:dyDescent="0.3">
      <c r="A148" s="20">
        <v>6</v>
      </c>
      <c r="B148" s="21" t="s">
        <v>127</v>
      </c>
      <c r="C148" s="22"/>
      <c r="D148" s="22"/>
      <c r="E148" s="23"/>
      <c r="F148" s="23"/>
    </row>
    <row r="149" spans="1:6" ht="124.8" x14ac:dyDescent="0.3">
      <c r="A149" s="24">
        <v>6.1</v>
      </c>
      <c r="B149" s="12" t="s">
        <v>128</v>
      </c>
      <c r="C149" s="24">
        <f>7*3.5</f>
        <v>24.5</v>
      </c>
      <c r="D149" s="24" t="s">
        <v>37</v>
      </c>
      <c r="E149" s="25"/>
      <c r="F149" s="25">
        <f>C149*E149</f>
        <v>0</v>
      </c>
    </row>
    <row r="150" spans="1:6" ht="15.6" x14ac:dyDescent="0.3">
      <c r="A150" s="24">
        <v>6.2</v>
      </c>
      <c r="B150" s="12" t="s">
        <v>129</v>
      </c>
      <c r="C150" s="24">
        <f>(6.5+3.5)*2</f>
        <v>20</v>
      </c>
      <c r="D150" s="24" t="s">
        <v>56</v>
      </c>
      <c r="E150" s="25"/>
      <c r="F150" s="25">
        <f t="shared" ref="F150:F151" si="16">C150*E150</f>
        <v>0</v>
      </c>
    </row>
    <row r="151" spans="1:6" ht="31.2" x14ac:dyDescent="0.3">
      <c r="A151" s="24">
        <v>6.3</v>
      </c>
      <c r="B151" s="12" t="s">
        <v>130</v>
      </c>
      <c r="C151" s="24">
        <v>20</v>
      </c>
      <c r="D151" s="24" t="s">
        <v>56</v>
      </c>
      <c r="E151" s="25"/>
      <c r="F151" s="25">
        <f t="shared" si="16"/>
        <v>0</v>
      </c>
    </row>
    <row r="152" spans="1:6" ht="18" x14ac:dyDescent="0.3">
      <c r="A152" s="53"/>
      <c r="B152" s="21" t="s">
        <v>131</v>
      </c>
      <c r="C152" s="54"/>
      <c r="D152" s="54"/>
      <c r="E152" s="55"/>
      <c r="F152" s="31">
        <f>SUM(F149:F151)</f>
        <v>0</v>
      </c>
    </row>
    <row r="153" spans="1:6" ht="15.6" x14ac:dyDescent="0.3">
      <c r="A153" s="47"/>
      <c r="B153" s="33"/>
      <c r="C153" s="49"/>
      <c r="D153" s="49"/>
      <c r="E153" s="66"/>
      <c r="F153" s="66"/>
    </row>
    <row r="154" spans="1:6" ht="15.6" x14ac:dyDescent="0.3">
      <c r="A154" s="20">
        <v>7</v>
      </c>
      <c r="B154" s="21" t="s">
        <v>132</v>
      </c>
      <c r="C154" s="22"/>
      <c r="D154" s="22"/>
      <c r="E154" s="23"/>
      <c r="F154" s="23"/>
    </row>
    <row r="155" spans="1:6" ht="31.2" x14ac:dyDescent="0.3">
      <c r="A155" s="24">
        <v>3.4</v>
      </c>
      <c r="B155" s="12" t="s">
        <v>133</v>
      </c>
      <c r="C155" s="24">
        <v>1</v>
      </c>
      <c r="D155" s="24" t="s">
        <v>61</v>
      </c>
      <c r="E155" s="25"/>
      <c r="F155" s="25">
        <f>C155*E155</f>
        <v>0</v>
      </c>
    </row>
    <row r="156" spans="1:6" ht="15.6" x14ac:dyDescent="0.3">
      <c r="A156" s="53"/>
      <c r="B156" s="21" t="s">
        <v>134</v>
      </c>
      <c r="C156" s="54"/>
      <c r="D156" s="54"/>
      <c r="E156" s="55"/>
      <c r="F156" s="55">
        <f>F155</f>
        <v>0</v>
      </c>
    </row>
    <row r="157" spans="1:6" ht="18" x14ac:dyDescent="0.35">
      <c r="A157" s="67"/>
      <c r="B157" s="119" t="s">
        <v>135</v>
      </c>
      <c r="C157" s="120"/>
      <c r="D157" s="120"/>
      <c r="E157" s="121"/>
      <c r="F157" s="39">
        <f>F113+F125+F132+F138+F146+F152+F156</f>
        <v>0</v>
      </c>
    </row>
    <row r="158" spans="1:6" ht="18" x14ac:dyDescent="0.35">
      <c r="A158" s="68"/>
      <c r="B158" s="69"/>
      <c r="C158" s="70"/>
      <c r="D158" s="70"/>
      <c r="E158" s="71"/>
      <c r="F158" s="10"/>
    </row>
    <row r="159" spans="1:6" ht="15.6" x14ac:dyDescent="0.3">
      <c r="A159" s="98" t="s">
        <v>136</v>
      </c>
      <c r="B159" s="103"/>
      <c r="C159" s="103"/>
      <c r="D159" s="103"/>
      <c r="E159" s="103"/>
      <c r="F159" s="99"/>
    </row>
    <row r="160" spans="1:6" ht="15.6" x14ac:dyDescent="0.3">
      <c r="A160" s="45" t="s">
        <v>29</v>
      </c>
      <c r="B160" s="21" t="s">
        <v>30</v>
      </c>
      <c r="C160" s="22" t="s">
        <v>31</v>
      </c>
      <c r="D160" s="22" t="s">
        <v>32</v>
      </c>
      <c r="E160" s="23" t="s">
        <v>33</v>
      </c>
      <c r="F160" s="23" t="s">
        <v>74</v>
      </c>
    </row>
    <row r="161" spans="1:6" ht="31.2" x14ac:dyDescent="0.25">
      <c r="A161" s="6">
        <v>1</v>
      </c>
      <c r="B161" s="7" t="s">
        <v>137</v>
      </c>
      <c r="C161" s="8">
        <v>1</v>
      </c>
      <c r="D161" s="8" t="s">
        <v>61</v>
      </c>
      <c r="E161" s="9"/>
      <c r="F161" s="10">
        <f>C161*E161</f>
        <v>0</v>
      </c>
    </row>
    <row r="162" spans="1:6" ht="31.2" x14ac:dyDescent="0.3">
      <c r="A162" s="6">
        <v>2</v>
      </c>
      <c r="B162" s="11" t="s">
        <v>138</v>
      </c>
      <c r="C162" s="8">
        <f>90*0.5*0.4</f>
        <v>18</v>
      </c>
      <c r="D162" s="8" t="s">
        <v>39</v>
      </c>
      <c r="E162" s="9"/>
      <c r="F162" s="10">
        <f t="shared" ref="F162:F169" si="17">C162*E162</f>
        <v>0</v>
      </c>
    </row>
    <row r="163" spans="1:6" ht="46.8" x14ac:dyDescent="0.3">
      <c r="A163" s="6">
        <v>3</v>
      </c>
      <c r="B163" s="12" t="s">
        <v>44</v>
      </c>
      <c r="C163" s="8">
        <f>90*0.4*0.2</f>
        <v>7.2</v>
      </c>
      <c r="D163" s="8" t="s">
        <v>39</v>
      </c>
      <c r="E163" s="9"/>
      <c r="F163" s="10">
        <f t="shared" si="17"/>
        <v>0</v>
      </c>
    </row>
    <row r="164" spans="1:6" ht="62.4" x14ac:dyDescent="0.3">
      <c r="A164" s="6">
        <v>4</v>
      </c>
      <c r="B164" s="12" t="s">
        <v>139</v>
      </c>
      <c r="C164" s="8">
        <v>35</v>
      </c>
      <c r="D164" s="8" t="s">
        <v>61</v>
      </c>
      <c r="E164" s="9"/>
      <c r="F164" s="10">
        <f t="shared" si="17"/>
        <v>0</v>
      </c>
    </row>
    <row r="165" spans="1:6" ht="31.2" x14ac:dyDescent="0.3">
      <c r="A165" s="6">
        <v>5</v>
      </c>
      <c r="B165" s="12" t="s">
        <v>140</v>
      </c>
      <c r="C165" s="8">
        <f>86*0.4*0.8</f>
        <v>27.52</v>
      </c>
      <c r="D165" s="8" t="s">
        <v>39</v>
      </c>
      <c r="E165" s="9"/>
      <c r="F165" s="10">
        <f t="shared" si="17"/>
        <v>0</v>
      </c>
    </row>
    <row r="166" spans="1:6" ht="31.2" x14ac:dyDescent="0.3">
      <c r="A166" s="6">
        <v>6</v>
      </c>
      <c r="B166" s="12" t="s">
        <v>141</v>
      </c>
      <c r="C166" s="8">
        <f>1.4*90</f>
        <v>125.99999999999999</v>
      </c>
      <c r="D166" s="8" t="s">
        <v>37</v>
      </c>
      <c r="E166" s="9"/>
      <c r="F166" s="10">
        <f t="shared" si="17"/>
        <v>0</v>
      </c>
    </row>
    <row r="167" spans="1:6" ht="31.2" x14ac:dyDescent="0.3">
      <c r="A167" s="6">
        <v>7</v>
      </c>
      <c r="B167" s="12" t="s">
        <v>142</v>
      </c>
      <c r="C167" s="8">
        <f>C166</f>
        <v>125.99999999999999</v>
      </c>
      <c r="D167" s="8" t="s">
        <v>37</v>
      </c>
      <c r="E167" s="9"/>
      <c r="F167" s="10">
        <f t="shared" si="17"/>
        <v>0</v>
      </c>
    </row>
    <row r="168" spans="1:6" ht="46.8" x14ac:dyDescent="0.3">
      <c r="A168" s="6">
        <v>8</v>
      </c>
      <c r="B168" s="12" t="s">
        <v>143</v>
      </c>
      <c r="C168" s="8">
        <v>5</v>
      </c>
      <c r="D168" s="8" t="s">
        <v>144</v>
      </c>
      <c r="E168" s="9"/>
      <c r="F168" s="10">
        <f t="shared" si="17"/>
        <v>0</v>
      </c>
    </row>
    <row r="169" spans="1:6" ht="31.2" x14ac:dyDescent="0.3">
      <c r="A169" s="6">
        <v>9</v>
      </c>
      <c r="B169" s="12" t="s">
        <v>145</v>
      </c>
      <c r="C169" s="8">
        <v>270</v>
      </c>
      <c r="D169" s="8" t="s">
        <v>56</v>
      </c>
      <c r="E169" s="9"/>
      <c r="F169" s="10">
        <f t="shared" si="17"/>
        <v>0</v>
      </c>
    </row>
    <row r="170" spans="1:6" ht="18" x14ac:dyDescent="0.35">
      <c r="A170" s="67"/>
      <c r="B170" s="100" t="s">
        <v>146</v>
      </c>
      <c r="C170" s="101"/>
      <c r="D170" s="101"/>
      <c r="E170" s="102"/>
      <c r="F170" s="39">
        <f>SUM(F161:F169)</f>
        <v>0</v>
      </c>
    </row>
    <row r="171" spans="1:6" ht="18" x14ac:dyDescent="0.3">
      <c r="A171" s="72"/>
      <c r="B171" s="7"/>
      <c r="C171" s="8"/>
      <c r="D171" s="8"/>
      <c r="E171" s="8"/>
      <c r="F171" s="10"/>
    </row>
    <row r="172" spans="1:6" ht="15.6" x14ac:dyDescent="0.3">
      <c r="A172" s="73"/>
      <c r="B172" s="122" t="s">
        <v>147</v>
      </c>
      <c r="C172" s="123"/>
      <c r="D172" s="123"/>
      <c r="E172" s="123"/>
      <c r="F172" s="124"/>
    </row>
    <row r="173" spans="1:6" ht="18" x14ac:dyDescent="0.3">
      <c r="A173" s="72"/>
      <c r="B173" s="7"/>
      <c r="C173" s="8"/>
      <c r="D173" s="8"/>
      <c r="E173" s="8"/>
      <c r="F173" s="10"/>
    </row>
    <row r="174" spans="1:6" ht="18" x14ac:dyDescent="0.25">
      <c r="A174" s="74" t="s">
        <v>148</v>
      </c>
      <c r="B174" s="113" t="s">
        <v>149</v>
      </c>
      <c r="C174" s="114"/>
      <c r="D174" s="115"/>
      <c r="E174" s="75"/>
      <c r="F174" s="76">
        <f>F46</f>
        <v>0</v>
      </c>
    </row>
    <row r="175" spans="1:6" ht="18" x14ac:dyDescent="0.25">
      <c r="A175" s="6"/>
      <c r="B175" s="125"/>
      <c r="C175" s="126"/>
      <c r="D175" s="127"/>
      <c r="E175" s="8"/>
      <c r="F175" s="10"/>
    </row>
    <row r="176" spans="1:6" ht="18" x14ac:dyDescent="0.25">
      <c r="A176" s="74" t="s">
        <v>150</v>
      </c>
      <c r="B176" s="113" t="s">
        <v>151</v>
      </c>
      <c r="C176" s="114"/>
      <c r="D176" s="115"/>
      <c r="E176" s="75"/>
      <c r="F176" s="76">
        <f>F77</f>
        <v>0</v>
      </c>
    </row>
    <row r="177" spans="1:11" ht="18" x14ac:dyDescent="0.25">
      <c r="A177" s="6"/>
      <c r="B177" s="125"/>
      <c r="C177" s="126"/>
      <c r="D177" s="127"/>
      <c r="E177" s="8"/>
      <c r="F177" s="10"/>
    </row>
    <row r="178" spans="1:11" ht="18" x14ac:dyDescent="0.25">
      <c r="A178" s="74" t="s">
        <v>152</v>
      </c>
      <c r="B178" s="113" t="s">
        <v>153</v>
      </c>
      <c r="C178" s="114"/>
      <c r="D178" s="115"/>
      <c r="E178" s="75"/>
      <c r="F178" s="76">
        <f>F92</f>
        <v>0</v>
      </c>
    </row>
    <row r="179" spans="1:11" ht="15.6" x14ac:dyDescent="0.3">
      <c r="A179" s="6"/>
      <c r="B179" s="128"/>
      <c r="C179" s="129"/>
      <c r="D179" s="130"/>
      <c r="E179" s="77"/>
      <c r="F179" s="77"/>
    </row>
    <row r="180" spans="1:11" ht="18" x14ac:dyDescent="0.3">
      <c r="A180" s="78" t="s">
        <v>154</v>
      </c>
      <c r="B180" s="131" t="s">
        <v>155</v>
      </c>
      <c r="C180" s="132"/>
      <c r="D180" s="133"/>
      <c r="E180" s="79"/>
      <c r="F180" s="76">
        <f>F105</f>
        <v>0</v>
      </c>
    </row>
    <row r="181" spans="1:11" ht="18" x14ac:dyDescent="0.3">
      <c r="A181" s="80"/>
      <c r="B181" s="110"/>
      <c r="C181" s="111"/>
      <c r="D181" s="112"/>
      <c r="E181" s="77"/>
      <c r="F181" s="10"/>
    </row>
    <row r="182" spans="1:11" ht="18" x14ac:dyDescent="0.3">
      <c r="A182" s="78" t="s">
        <v>156</v>
      </c>
      <c r="B182" s="134" t="s">
        <v>157</v>
      </c>
      <c r="C182" s="135"/>
      <c r="D182" s="136"/>
      <c r="E182" s="79"/>
      <c r="F182" s="76">
        <f>F157</f>
        <v>0</v>
      </c>
    </row>
    <row r="183" spans="1:11" ht="18" x14ac:dyDescent="0.3">
      <c r="A183" s="80"/>
      <c r="B183" s="137"/>
      <c r="C183" s="138"/>
      <c r="D183" s="139"/>
      <c r="E183" s="81"/>
      <c r="F183" s="10"/>
    </row>
    <row r="184" spans="1:11" ht="18" x14ac:dyDescent="0.3">
      <c r="A184" s="78" t="s">
        <v>158</v>
      </c>
      <c r="B184" s="134" t="s">
        <v>159</v>
      </c>
      <c r="C184" s="135"/>
      <c r="D184" s="136"/>
      <c r="E184" s="79"/>
      <c r="F184" s="76">
        <f>F170</f>
        <v>0</v>
      </c>
    </row>
    <row r="185" spans="1:11" ht="15.6" x14ac:dyDescent="0.3">
      <c r="A185" s="80"/>
      <c r="B185" s="137"/>
      <c r="C185" s="138"/>
      <c r="D185" s="139"/>
      <c r="E185" s="81"/>
      <c r="F185" s="81"/>
    </row>
    <row r="186" spans="1:11" ht="18" x14ac:dyDescent="0.35">
      <c r="A186" s="13"/>
      <c r="B186" s="122" t="s">
        <v>160</v>
      </c>
      <c r="C186" s="123"/>
      <c r="D186" s="123"/>
      <c r="E186" s="124"/>
      <c r="F186" s="14">
        <f>F174+F176+F178+F180+F182+F184</f>
        <v>0</v>
      </c>
    </row>
    <row r="187" spans="1:11" ht="18" x14ac:dyDescent="0.35">
      <c r="A187" s="143"/>
      <c r="B187" s="144"/>
      <c r="C187" s="144"/>
      <c r="D187" s="144"/>
      <c r="E187" s="144"/>
      <c r="F187" s="145"/>
    </row>
    <row r="188" spans="1:11" ht="18" x14ac:dyDescent="0.35">
      <c r="A188" s="68"/>
      <c r="B188" s="146" t="s">
        <v>161</v>
      </c>
      <c r="C188" s="147"/>
      <c r="D188" s="147"/>
      <c r="E188" s="148"/>
      <c r="F188" s="82"/>
      <c r="J188" s="83"/>
      <c r="K188" s="84"/>
    </row>
    <row r="189" spans="1:11" ht="18" x14ac:dyDescent="0.35">
      <c r="A189" s="68">
        <v>1</v>
      </c>
      <c r="B189" s="149" t="s">
        <v>162</v>
      </c>
      <c r="C189" s="150"/>
      <c r="D189" s="150"/>
      <c r="E189" s="151"/>
      <c r="F189" s="82"/>
      <c r="J189" s="83"/>
      <c r="K189" s="84"/>
    </row>
    <row r="190" spans="1:11" ht="18" x14ac:dyDescent="0.3">
      <c r="A190" s="32">
        <v>1.1000000000000001</v>
      </c>
      <c r="B190" s="152" t="s">
        <v>163</v>
      </c>
      <c r="C190" s="153"/>
      <c r="D190" s="153"/>
      <c r="E190" s="154"/>
      <c r="F190" s="82">
        <f>F186</f>
        <v>0</v>
      </c>
      <c r="J190" s="83"/>
      <c r="K190" s="84"/>
    </row>
    <row r="191" spans="1:11" ht="18" x14ac:dyDescent="0.35">
      <c r="A191" s="68">
        <v>2</v>
      </c>
      <c r="B191" s="149" t="s">
        <v>164</v>
      </c>
      <c r="C191" s="150"/>
      <c r="D191" s="150"/>
      <c r="E191" s="151"/>
      <c r="F191" s="82"/>
      <c r="J191" s="83"/>
      <c r="K191" s="84"/>
    </row>
    <row r="192" spans="1:11" ht="18" x14ac:dyDescent="0.3">
      <c r="A192" s="47">
        <v>2.1</v>
      </c>
      <c r="B192" s="155" t="s">
        <v>165</v>
      </c>
      <c r="C192" s="156"/>
      <c r="D192" s="156"/>
      <c r="E192" s="157"/>
      <c r="F192" s="82">
        <f>F17</f>
        <v>0</v>
      </c>
    </row>
    <row r="193" spans="2:6" ht="18" x14ac:dyDescent="0.25">
      <c r="B193" s="140"/>
      <c r="C193" s="140"/>
      <c r="D193" s="140"/>
      <c r="E193" s="141"/>
      <c r="F193" s="82"/>
    </row>
    <row r="194" spans="2:6" ht="18" x14ac:dyDescent="0.25">
      <c r="B194" s="142" t="s">
        <v>166</v>
      </c>
      <c r="C194" s="142"/>
      <c r="D194" s="142"/>
      <c r="E194" s="142"/>
      <c r="F194" s="82">
        <f>SUM(F189:F192)</f>
        <v>0</v>
      </c>
    </row>
  </sheetData>
  <mergeCells count="44">
    <mergeCell ref="B193:E193"/>
    <mergeCell ref="B194:E194"/>
    <mergeCell ref="A187:F187"/>
    <mergeCell ref="B188:E188"/>
    <mergeCell ref="B189:E189"/>
    <mergeCell ref="B190:E190"/>
    <mergeCell ref="B191:E191"/>
    <mergeCell ref="B192:E192"/>
    <mergeCell ref="B186:E186"/>
    <mergeCell ref="B175:D175"/>
    <mergeCell ref="B176:D176"/>
    <mergeCell ref="B177:D177"/>
    <mergeCell ref="B178:D178"/>
    <mergeCell ref="B179:D179"/>
    <mergeCell ref="B180:D180"/>
    <mergeCell ref="B181:D181"/>
    <mergeCell ref="B182:D182"/>
    <mergeCell ref="B183:D183"/>
    <mergeCell ref="B184:D184"/>
    <mergeCell ref="B185:D185"/>
    <mergeCell ref="B174:D174"/>
    <mergeCell ref="B105:E105"/>
    <mergeCell ref="A107:F107"/>
    <mergeCell ref="B127:D127"/>
    <mergeCell ref="B132:D132"/>
    <mergeCell ref="B134:D134"/>
    <mergeCell ref="B138:D138"/>
    <mergeCell ref="B140:D140"/>
    <mergeCell ref="B157:E157"/>
    <mergeCell ref="A159:F159"/>
    <mergeCell ref="B170:E170"/>
    <mergeCell ref="B172:F172"/>
    <mergeCell ref="A94:F94"/>
    <mergeCell ref="A1:F1"/>
    <mergeCell ref="A2:F2"/>
    <mergeCell ref="A4:F4"/>
    <mergeCell ref="B17:E17"/>
    <mergeCell ref="E18:F18"/>
    <mergeCell ref="B46:E46"/>
    <mergeCell ref="A48:F48"/>
    <mergeCell ref="B77:E77"/>
    <mergeCell ref="A79:F79"/>
    <mergeCell ref="B92:D92"/>
    <mergeCell ref="A93:F93"/>
  </mergeCells>
  <pageMargins left="0.4" right="7.8740157480315001E-2" top="0.79" bottom="0.85" header="0.31496062992126" footer="0.47"/>
  <pageSetup paperSize="9" scale="10" orientation="landscape" r:id="rId1"/>
  <headerFooter alignWithMargins="0">
    <oddHeader xml:space="preserve">&amp;R&amp;9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NIS-BoQs</vt:lpstr>
      <vt:lpstr>'NIS-BoQs'!Print_Area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Abdirahim Dahir</dc:creator>
  <cp:lastModifiedBy>Salah  Ahmed</cp:lastModifiedBy>
  <dcterms:created xsi:type="dcterms:W3CDTF">2024-07-29T09:09:50Z</dcterms:created>
  <dcterms:modified xsi:type="dcterms:W3CDTF">2024-07-30T11:32:37Z</dcterms:modified>
</cp:coreProperties>
</file>